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164"/>
  </bookViews>
  <sheets>
    <sheet name="扩围专项补贴人员花名册" sheetId="1" r:id="rId1"/>
    <sheet name="高校毕业生审批表" sheetId="2" state="hidden" r:id="rId2"/>
    <sheet name="高校毕业生花名册" sheetId="3" state="hidden" r:id="rId3"/>
    <sheet name="补差审批表" sheetId="4" state="hidden" r:id="rId4"/>
    <sheet name="企业补差汇总表" sheetId="5" state="hidden" r:id="rId5"/>
    <sheet name="企业补差花名册" sheetId="6" state="hidden" r:id="rId6"/>
    <sheet name="高校毕业生补差审批表" sheetId="7" state="hidden" r:id="rId7"/>
    <sheet name="高校毕业生补差花名册" sheetId="8" state="hidden" r:id="rId8"/>
  </sheets>
  <definedNames>
    <definedName name="_xlnm.Print_Area" localSheetId="0">扩围专项补贴人员花名册!$A$1:$Q$175</definedName>
    <definedName name="_xlnm._FilterDatabase" localSheetId="0" hidden="1">扩围专项补贴人员花名册!$A$5:$Q$175</definedName>
  </definedNames>
  <calcPr calcId="144525" concurrentCalc="0"/>
</workbook>
</file>

<file path=xl/sharedStrings.xml><?xml version="1.0" encoding="utf-8"?>
<sst xmlns="http://schemas.openxmlformats.org/spreadsheetml/2006/main" count="748">
  <si>
    <t>拟拨付2025年第一批稳就业扩大社会保险补贴范围补助资金花名册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</si>
  <si>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</si>
  <si>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</si>
  <si>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</si>
  <si>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</si>
  <si>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</si>
  <si>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</si>
  <si>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</si>
  <si>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</si>
  <si>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</si>
  <si>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</si>
  <si>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补贴金额（元）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</si>
  <si>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</si>
  <si>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</si>
  <si>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</si>
  <si>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</si>
  <si>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</si>
  <si>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</si>
  <si>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</si>
  <si>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</si>
  <si>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</si>
  <si>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</si>
  <si>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</si>
  <si>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</si>
  <si>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</si>
  <si>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</si>
  <si>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</si>
  <si>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</si>
  <si>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</si>
  <si>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</si>
  <si>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</si>
  <si>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</si>
  <si>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</si>
  <si>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</si>
  <si>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</si>
  <si>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</si>
  <si>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</si>
  <si>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</si>
  <si>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</si>
  <si>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</si>
  <si>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</si>
  <si>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</si>
  <si>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</si>
  <si>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</si>
  <si>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</si>
  <si>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</si>
  <si>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</si>
  <si>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</si>
  <si>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</si>
  <si>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</si>
  <si>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</si>
  <si>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</si>
  <si>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</si>
  <si>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</si>
  <si>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</si>
  <si>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</si>
  <si>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</si>
  <si>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</si>
  <si>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</si>
  <si>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</si>
  <si>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</si>
  <si>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</si>
  <si>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</si>
  <si>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</si>
  <si>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</si>
  <si>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</si>
  <si>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</si>
  <si>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林杰</t>
  </si>
  <si>
    <t>3412***5934</t>
  </si>
  <si>
    <t>195***471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</si>
  <si>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</si>
  <si>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</si>
  <si>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</si>
  <si>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</si>
  <si>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</si>
  <si>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</si>
  <si>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</si>
  <si>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</si>
  <si>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</si>
  <si>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新疆丝路天山国际食品城投资有限公司</t>
  </si>
  <si>
    <t>孟宇菲</t>
  </si>
  <si>
    <t>6501***6047</t>
  </si>
  <si>
    <t>178***930</t>
  </si>
  <si>
    <t>新疆希望爱登堡电梯有限公司</t>
  </si>
  <si>
    <t>洪尘</t>
  </si>
  <si>
    <t>6523***2039</t>
  </si>
  <si>
    <t>152***729</t>
  </si>
  <si>
    <t>韩宇成</t>
  </si>
  <si>
    <t>4103***7359</t>
  </si>
  <si>
    <t>184***783</t>
  </si>
  <si>
    <t>王骁</t>
  </si>
  <si>
    <t>6527***0016</t>
  </si>
  <si>
    <t>156***400</t>
  </si>
  <si>
    <t>新疆游客集散中心有限公司乌鲁木齐兵旅昆仑酒店分公司</t>
  </si>
  <si>
    <t>买迪努尔·帕尔哈提</t>
  </si>
  <si>
    <t>6531***0321</t>
  </si>
  <si>
    <t>176***530</t>
  </si>
  <si>
    <t>吐尔逊·卡日</t>
  </si>
  <si>
    <t>6531***1051</t>
  </si>
  <si>
    <t>192***854</t>
  </si>
  <si>
    <t>钱良奇</t>
  </si>
  <si>
    <t>6501***3213</t>
  </si>
  <si>
    <t>182***078</t>
  </si>
  <si>
    <t>努尔艾力·艾海提</t>
  </si>
  <si>
    <t>6531***5031</t>
  </si>
  <si>
    <t>131***900</t>
  </si>
  <si>
    <t>王灵筱</t>
  </si>
  <si>
    <t>6228***3148</t>
  </si>
  <si>
    <t>176***110</t>
  </si>
  <si>
    <t>古丽巴努木·阿不都谢衣提</t>
  </si>
  <si>
    <t>6521***1429</t>
  </si>
  <si>
    <t>133***417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</si>
  <si>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</si>
  <si>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</si>
  <si>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</si>
  <si>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</si>
  <si>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</si>
  <si>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</si>
  <si>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</si>
  <si>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</si>
  <si>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</si>
  <si>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</si>
  <si>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</si>
  <si>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</si>
  <si>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</si>
  <si>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</si>
  <si>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</si>
  <si>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</si>
  <si>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</si>
  <si>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</si>
  <si>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</si>
  <si>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</si>
  <si>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</si>
  <si>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</si>
  <si>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</si>
  <si>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</si>
  <si>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王洋</t>
  </si>
  <si>
    <t>4311***8983</t>
  </si>
  <si>
    <t>195***594</t>
  </si>
  <si>
    <t>于少杰</t>
  </si>
  <si>
    <t>4127***5417</t>
  </si>
  <si>
    <t>181***539</t>
  </si>
  <si>
    <t>魏玮</t>
  </si>
  <si>
    <t>6224***0820</t>
  </si>
  <si>
    <t>199***212</t>
  </si>
  <si>
    <t>新疆德源房地产开发有限公司</t>
  </si>
  <si>
    <t>刘慧慧</t>
  </si>
  <si>
    <t>6501***4720</t>
  </si>
  <si>
    <t>133***221</t>
  </si>
  <si>
    <t>乌鲁木齐驼达达国际旅游有限公司</t>
  </si>
  <si>
    <t>古载丽努尔·麦麦提</t>
  </si>
  <si>
    <t>6531***2482</t>
  </si>
  <si>
    <t>184***467</t>
  </si>
  <si>
    <t>曹雅雯</t>
  </si>
  <si>
    <t>6542***482X</t>
  </si>
  <si>
    <t>152***308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</si>
  <si>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</si>
  <si>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</si>
  <si>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</si>
  <si>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</si>
  <si>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</si>
  <si>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</si>
  <si>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</si>
  <si>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</si>
  <si>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</si>
  <si>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</si>
  <si>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</si>
  <si>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</si>
  <si>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</si>
  <si>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</si>
  <si>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</si>
  <si>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第十二师康悦养老院</t>
  </si>
  <si>
    <t>阿尔祖古丽·图尔贡</t>
  </si>
  <si>
    <t>6531***0848</t>
  </si>
  <si>
    <t>130***289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</si>
  <si>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</si>
  <si>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</si>
  <si>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</si>
  <si>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</si>
  <si>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</si>
  <si>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</si>
  <si>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</si>
  <si>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</si>
  <si>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</si>
  <si>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如古亚木·沙塔尔</t>
  </si>
  <si>
    <t>6532***4569</t>
  </si>
  <si>
    <t>191***245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</si>
  <si>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</si>
  <si>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</si>
  <si>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</si>
  <si>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</si>
  <si>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</si>
  <si>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</si>
  <si>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阿依谢姆古丽·热合麦提</t>
  </si>
  <si>
    <t>6531***0401</t>
  </si>
  <si>
    <t>175***028</t>
  </si>
  <si>
    <t>阿丽耶·艾尼瓦尔</t>
  </si>
  <si>
    <t>6531***1722</t>
  </si>
  <si>
    <t>155***581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</si>
  <si>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</si>
  <si>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</si>
  <si>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</si>
  <si>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</si>
  <si>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</si>
  <si>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</si>
  <si>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</si>
  <si>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</si>
  <si>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</si>
  <si>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新疆鼎创新材料科技有限公司</t>
  </si>
  <si>
    <t>万超</t>
  </si>
  <si>
    <t>6542***2519</t>
  </si>
  <si>
    <t>153***348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</si>
  <si>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</si>
  <si>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</si>
  <si>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</si>
  <si>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</si>
  <si>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</si>
  <si>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</si>
  <si>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</si>
  <si>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</si>
  <si>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</si>
  <si>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</si>
  <si>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</si>
  <si>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</si>
  <si>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</si>
  <si>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</si>
  <si>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</si>
  <si>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</si>
  <si>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</si>
  <si>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</si>
  <si>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</si>
  <si>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</si>
  <si>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</si>
  <si>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</si>
  <si>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</si>
  <si>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</si>
  <si>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</si>
  <si>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</si>
  <si>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</si>
  <si>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</si>
  <si>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马卫兰·马合木提</t>
  </si>
  <si>
    <t>6521***2012</t>
  </si>
  <si>
    <t>185***482</t>
  </si>
  <si>
    <t>陈芳</t>
  </si>
  <si>
    <t>6224***4129</t>
  </si>
  <si>
    <t>188***309</t>
  </si>
  <si>
    <t>高萸</t>
  </si>
  <si>
    <t>6204***6524</t>
  </si>
  <si>
    <t>158***331</t>
  </si>
  <si>
    <t>瓦热斯江·外力</t>
  </si>
  <si>
    <t>6501***3010</t>
  </si>
  <si>
    <t>132***127</t>
  </si>
  <si>
    <t>一般劳动者</t>
  </si>
  <si>
    <t>张宇帆</t>
  </si>
  <si>
    <t>4116***3068</t>
  </si>
  <si>
    <t>150***102</t>
  </si>
  <si>
    <t>伊力扎提·阿不兰</t>
  </si>
  <si>
    <t>6541***3299</t>
  </si>
  <si>
    <t>195***562</t>
  </si>
  <si>
    <t>梁凯</t>
  </si>
  <si>
    <t>4114***3396</t>
  </si>
  <si>
    <t>132***360</t>
  </si>
  <si>
    <t>新疆皓程制造科技有限公司</t>
  </si>
  <si>
    <t>马伟小</t>
  </si>
  <si>
    <t>6404***3715</t>
  </si>
  <si>
    <t>175***979</t>
  </si>
  <si>
    <t>第十二师康怡养老院</t>
  </si>
  <si>
    <t>罗为峰</t>
  </si>
  <si>
    <t>6501***1013</t>
  </si>
  <si>
    <t>152***906</t>
  </si>
  <si>
    <t>2025年9月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</si>
  <si>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</si>
  <si>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</si>
  <si>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</si>
  <si>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</si>
  <si>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</si>
  <si>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</si>
  <si>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</si>
  <si>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</si>
  <si>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</si>
  <si>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王梦丽</t>
  </si>
  <si>
    <t>3717***6424</t>
  </si>
  <si>
    <t>198***505</t>
  </si>
  <si>
    <t>北新建材（新疆）有限公司</t>
  </si>
  <si>
    <t>周等笑</t>
  </si>
  <si>
    <t>6224***6125</t>
  </si>
  <si>
    <t>135***363</t>
  </si>
  <si>
    <t>第十二师乐康社会工作服务中心</t>
  </si>
  <si>
    <t>夏文雯</t>
  </si>
  <si>
    <t>5002***5620</t>
  </si>
  <si>
    <t>132***264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</si>
  <si>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</si>
  <si>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</si>
  <si>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</si>
  <si>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</si>
  <si>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</si>
  <si>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</si>
  <si>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</si>
  <si>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</si>
  <si>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</si>
  <si>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</si>
  <si>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</si>
  <si>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新疆中贸文化旅游有限公司</t>
  </si>
  <si>
    <t>宋佳</t>
  </si>
  <si>
    <t>3702***5021</t>
  </si>
  <si>
    <t>180***108</t>
  </si>
  <si>
    <t>达娜·夏依木拉提</t>
  </si>
  <si>
    <t>6523***312X</t>
  </si>
  <si>
    <t>157***010</t>
  </si>
  <si>
    <t>马媛</t>
  </si>
  <si>
    <t>6540***0928</t>
  </si>
  <si>
    <t>135***225</t>
  </si>
  <si>
    <t>新疆中福文化旅游有限公司</t>
  </si>
  <si>
    <t>热伊莱·艾则孜</t>
  </si>
  <si>
    <t>6532***2426</t>
  </si>
  <si>
    <t>新疆梦工厂国际旅行社有限公司</t>
  </si>
  <si>
    <t>刘旋</t>
  </si>
  <si>
    <t>5222***3241</t>
  </si>
  <si>
    <t>152***725</t>
  </si>
  <si>
    <t>新疆朗客国际旅行社有限公司</t>
  </si>
  <si>
    <t>王宇飞</t>
  </si>
  <si>
    <t>4127***2042</t>
  </si>
  <si>
    <t>131***511</t>
  </si>
  <si>
    <t>张晓萱</t>
  </si>
  <si>
    <t>6523***2020</t>
  </si>
  <si>
    <t>189***851</t>
  </si>
  <si>
    <t>新疆丝路风景国际旅行社有限公司</t>
  </si>
  <si>
    <t>余景茹</t>
  </si>
  <si>
    <t>6501***2623</t>
  </si>
  <si>
    <t>180***155</t>
  </si>
  <si>
    <t>新疆千佰途国际旅行社有限公司</t>
  </si>
  <si>
    <t>邓鹏</t>
  </si>
  <si>
    <t>5002***6211</t>
  </si>
  <si>
    <t>181***605</t>
  </si>
  <si>
    <t>唐学龙</t>
  </si>
  <si>
    <t>6523***1919</t>
  </si>
  <si>
    <t>186***943</t>
  </si>
  <si>
    <t>李阳</t>
  </si>
  <si>
    <t>4113***5583</t>
  </si>
  <si>
    <t>181***469</t>
  </si>
  <si>
    <t>孙航航</t>
  </si>
  <si>
    <t>4110***6534</t>
  </si>
  <si>
    <t>137***865</t>
  </si>
  <si>
    <t>李静</t>
  </si>
  <si>
    <t>6529***0449</t>
  </si>
  <si>
    <t>188***573</t>
  </si>
  <si>
    <t>李洁</t>
  </si>
  <si>
    <t>6541***3542</t>
  </si>
  <si>
    <t>155***772</t>
  </si>
  <si>
    <t>马燕</t>
  </si>
  <si>
    <t>6541***2525</t>
  </si>
  <si>
    <t>191***779</t>
  </si>
  <si>
    <t>高雅琪</t>
  </si>
  <si>
    <t>6501***3021</t>
  </si>
  <si>
    <t>177***917</t>
  </si>
  <si>
    <t>郭学慧</t>
  </si>
  <si>
    <t>6521***0428</t>
  </si>
  <si>
    <t>166***802</t>
  </si>
  <si>
    <t>新疆牧游国际旅行社有限公司</t>
  </si>
  <si>
    <t>银志强</t>
  </si>
  <si>
    <t>6523***1616</t>
  </si>
  <si>
    <t>133***022</t>
  </si>
  <si>
    <t>曾嘉乐</t>
  </si>
  <si>
    <t>6541***2613</t>
  </si>
  <si>
    <t>186***156</t>
  </si>
  <si>
    <t>李可欣</t>
  </si>
  <si>
    <t>6223***4882</t>
  </si>
  <si>
    <t>178***508</t>
  </si>
  <si>
    <t>王琰萱珂</t>
  </si>
  <si>
    <t>6501***5130</t>
  </si>
  <si>
    <t>180***069</t>
  </si>
  <si>
    <t>魏凯</t>
  </si>
  <si>
    <t>6542***3917</t>
  </si>
  <si>
    <t>166***709</t>
  </si>
  <si>
    <t>田晓晴</t>
  </si>
  <si>
    <t>6501***2421</t>
  </si>
  <si>
    <t>151***516</t>
  </si>
  <si>
    <t>孙艳玲</t>
  </si>
  <si>
    <t>4116***3426</t>
  </si>
  <si>
    <t>155***253</t>
  </si>
  <si>
    <t>张梦然</t>
  </si>
  <si>
    <t>4127***0608</t>
  </si>
  <si>
    <t>181***663</t>
  </si>
  <si>
    <t>李育懋</t>
  </si>
  <si>
    <t>6521***3920</t>
  </si>
  <si>
    <t>150***385</t>
  </si>
  <si>
    <t>张静</t>
  </si>
  <si>
    <t>6104***0828</t>
  </si>
  <si>
    <t>155***051</t>
  </si>
  <si>
    <t>张程齐</t>
  </si>
  <si>
    <t>6501***1634</t>
  </si>
  <si>
    <t>132***321</t>
  </si>
  <si>
    <t>沈雅坤</t>
  </si>
  <si>
    <t>6501***6229</t>
  </si>
  <si>
    <t>180***323</t>
  </si>
  <si>
    <t>马晓瑞</t>
  </si>
  <si>
    <t>6208***3929</t>
  </si>
  <si>
    <t>132***251</t>
  </si>
  <si>
    <t>侯兰兰</t>
  </si>
  <si>
    <t>6212***5643</t>
  </si>
  <si>
    <t>178***512</t>
  </si>
  <si>
    <t>黄金库</t>
  </si>
  <si>
    <t>4127***5517</t>
  </si>
  <si>
    <t>195***890</t>
  </si>
  <si>
    <t>洪娜娜</t>
  </si>
  <si>
    <t>4115***7526</t>
  </si>
  <si>
    <t>176***529</t>
  </si>
  <si>
    <t>孙乐乐</t>
  </si>
  <si>
    <t>6204***6221</t>
  </si>
  <si>
    <t>155***476</t>
  </si>
  <si>
    <t>刘倩</t>
  </si>
  <si>
    <t>6501***3241</t>
  </si>
  <si>
    <t>180***514</t>
  </si>
  <si>
    <t>新疆妙途国际旅行社有限公司</t>
  </si>
  <si>
    <t>陈天泽</t>
  </si>
  <si>
    <t>6501***0716</t>
  </si>
  <si>
    <t>191***228</t>
  </si>
  <si>
    <t>王紫涵</t>
  </si>
  <si>
    <t>6228***0922</t>
  </si>
  <si>
    <t>186***601</t>
  </si>
  <si>
    <t>文进</t>
  </si>
  <si>
    <t>6205***6616</t>
  </si>
  <si>
    <t>177***306</t>
  </si>
  <si>
    <t>雷千影</t>
  </si>
  <si>
    <t>6523***6420</t>
  </si>
  <si>
    <t>152***227</t>
  </si>
  <si>
    <t>汪萍</t>
  </si>
  <si>
    <t>6523***3024</t>
  </si>
  <si>
    <t>181***265</t>
  </si>
  <si>
    <t>尚文轩</t>
  </si>
  <si>
    <t>6542***0724</t>
  </si>
  <si>
    <t>176***045</t>
  </si>
  <si>
    <t>谢雪莲</t>
  </si>
  <si>
    <t>6227***0821</t>
  </si>
  <si>
    <t>131***204</t>
  </si>
  <si>
    <t>郑梦娟</t>
  </si>
  <si>
    <t>4127***1082</t>
  </si>
  <si>
    <t>189***109</t>
  </si>
  <si>
    <t>张梦涵</t>
  </si>
  <si>
    <t>4102***9843</t>
  </si>
  <si>
    <t>152***391</t>
  </si>
  <si>
    <t>康莹</t>
  </si>
  <si>
    <t>6104***2025</t>
  </si>
  <si>
    <t>133***611</t>
  </si>
  <si>
    <t>何清岚</t>
  </si>
  <si>
    <t>6540***212X</t>
  </si>
  <si>
    <t>193***231</t>
  </si>
  <si>
    <t>李紫琪</t>
  </si>
  <si>
    <t>6501***1624</t>
  </si>
  <si>
    <t>181***054</t>
  </si>
  <si>
    <t>唐杰</t>
  </si>
  <si>
    <t>6542***0824</t>
  </si>
  <si>
    <t>186***237</t>
  </si>
  <si>
    <t>曾虹鲜</t>
  </si>
  <si>
    <t>5109***3603</t>
  </si>
  <si>
    <t>195***183</t>
  </si>
  <si>
    <t>杨立蓉</t>
  </si>
  <si>
    <t>6223***0842</t>
  </si>
  <si>
    <t>157***217</t>
  </si>
  <si>
    <t>张楠</t>
  </si>
  <si>
    <t>6522***3524</t>
  </si>
  <si>
    <t>180***711</t>
  </si>
  <si>
    <t>杨学涛</t>
  </si>
  <si>
    <t>6541***0813</t>
  </si>
  <si>
    <t>150***179</t>
  </si>
  <si>
    <t>刘欣悦</t>
  </si>
  <si>
    <t>6203***0323</t>
  </si>
  <si>
    <t>133***126</t>
  </si>
  <si>
    <t>康乾霞</t>
  </si>
  <si>
    <t>6224***3123</t>
  </si>
  <si>
    <t>177***546</t>
  </si>
  <si>
    <t>李续续</t>
  </si>
  <si>
    <t>6205***2682</t>
  </si>
  <si>
    <t>181***293</t>
  </si>
  <si>
    <t>马英</t>
  </si>
  <si>
    <t>6541***0022</t>
  </si>
  <si>
    <t>181***554</t>
  </si>
  <si>
    <t>胡丽媛</t>
  </si>
  <si>
    <t>6205***702X</t>
  </si>
  <si>
    <t>173***542</t>
  </si>
  <si>
    <t>魏琴</t>
  </si>
  <si>
    <t>6223***2042</t>
  </si>
  <si>
    <t>131***916</t>
  </si>
  <si>
    <t>新疆泽行疆途国际旅行社有限公司</t>
  </si>
  <si>
    <t>马文轩</t>
  </si>
  <si>
    <t>6528***1028</t>
  </si>
  <si>
    <t>189***054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</si>
  <si>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</si>
  <si>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</si>
  <si>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</si>
  <si>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</si>
  <si>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</si>
  <si>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</si>
  <si>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</si>
  <si>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</si>
  <si>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</si>
  <si>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</si>
  <si>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新疆利康祥运生物科技有限公司</t>
  </si>
  <si>
    <t>廖孟向</t>
  </si>
  <si>
    <t>4113***2581</t>
  </si>
  <si>
    <t>159***152</t>
  </si>
  <si>
    <t>卡吾沙尔·麦麦提</t>
  </si>
  <si>
    <t>6502***0727</t>
  </si>
  <si>
    <t>133***418</t>
  </si>
  <si>
    <t>新疆中德输配电设备有限公司</t>
  </si>
  <si>
    <t>翟莹莹</t>
  </si>
  <si>
    <t>4115***3020</t>
  </si>
  <si>
    <t>185***570</t>
  </si>
  <si>
    <t>新疆天福泰钢结构有限公司</t>
  </si>
  <si>
    <t>艾科拜尔·麦麦提尼亚孜</t>
  </si>
  <si>
    <t>6531***4877</t>
  </si>
  <si>
    <t>181***907</t>
  </si>
  <si>
    <t>阿卜杜喀哈尔·图尔荪</t>
  </si>
  <si>
    <t>6531***3875</t>
  </si>
  <si>
    <t>136***892</t>
  </si>
  <si>
    <t>新疆中创未来科技有限责任公司</t>
  </si>
  <si>
    <t>胡慧远</t>
  </si>
  <si>
    <t>6501***0624</t>
  </si>
  <si>
    <t>155***812</t>
  </si>
  <si>
    <t>新疆天润暖通建材有限公司</t>
  </si>
  <si>
    <t>吾布力艾山·吉力勒</t>
  </si>
  <si>
    <t>6532***1513</t>
  </si>
  <si>
    <t>156***821</t>
  </si>
  <si>
    <t>新疆誉拓隆疆文具有限公司</t>
  </si>
  <si>
    <t>刘钰轩</t>
  </si>
  <si>
    <t>1305***3921</t>
  </si>
  <si>
    <t>151***270</t>
  </si>
  <si>
    <t>新疆和兴恒石新材料有限责任公司</t>
  </si>
  <si>
    <t>康丽生</t>
  </si>
  <si>
    <t>1304***1915</t>
  </si>
  <si>
    <t>152***279</t>
  </si>
  <si>
    <t>新疆希梵尼食品有限公司</t>
  </si>
  <si>
    <t>阿依古丽·麦提肉孜</t>
  </si>
  <si>
    <t>6531***3824</t>
  </si>
  <si>
    <t>135***445</t>
  </si>
  <si>
    <t>陶莹莹</t>
  </si>
  <si>
    <t>4127***2929</t>
  </si>
  <si>
    <t>131***210</t>
  </si>
  <si>
    <t>谢奥雪</t>
  </si>
  <si>
    <t>4113***4824</t>
  </si>
  <si>
    <t>185***709</t>
  </si>
  <si>
    <t>新疆西邦科技开发有限公司</t>
  </si>
  <si>
    <t>魏梦妍</t>
  </si>
  <si>
    <t>6523***4320</t>
  </si>
  <si>
    <t>150***147</t>
  </si>
  <si>
    <t>新疆崇吾斯坦目食品科技有限公司</t>
  </si>
  <si>
    <t>亚森江·麦麦提</t>
  </si>
  <si>
    <t>6531***2038</t>
  </si>
  <si>
    <t>177***855</t>
  </si>
  <si>
    <t>阿卜杜拉·毛拉木</t>
  </si>
  <si>
    <t>6531***5612</t>
  </si>
  <si>
    <t>166***425</t>
  </si>
  <si>
    <t>热依拉·阿布来提</t>
  </si>
  <si>
    <t>6531***2420</t>
  </si>
  <si>
    <t>186***128</t>
  </si>
  <si>
    <t>阿依早热·阿布力米提</t>
  </si>
  <si>
    <t>6531***022X</t>
  </si>
  <si>
    <t>193***524</t>
  </si>
  <si>
    <t>开丽比努尔·吐尔孙</t>
  </si>
  <si>
    <t>6531***5301</t>
  </si>
  <si>
    <t>175***550</t>
  </si>
  <si>
    <t>新疆金广通达标识标牌制作有限公司</t>
  </si>
  <si>
    <t>陈灵</t>
  </si>
  <si>
    <t>6541***0621</t>
  </si>
  <si>
    <t>159***957</t>
  </si>
  <si>
    <t>新疆路德新材料有限公司</t>
  </si>
  <si>
    <t>张永孝</t>
  </si>
  <si>
    <t>6321***451X</t>
  </si>
  <si>
    <t>155***267</t>
  </si>
  <si>
    <t>乌鲁木齐伟星新型建材有限公司</t>
  </si>
  <si>
    <t>王潇晗</t>
  </si>
  <si>
    <t>4102***3043</t>
  </si>
  <si>
    <t>150***174</t>
  </si>
  <si>
    <t>新疆坚锋工程机械有限公司</t>
  </si>
  <si>
    <t>张坤</t>
  </si>
  <si>
    <t>4114***2812</t>
  </si>
  <si>
    <t>187***261</t>
  </si>
  <si>
    <t>乌鲁木齐上善元科技有限公司</t>
  </si>
  <si>
    <t>杨海霞</t>
  </si>
  <si>
    <t>6201***7428</t>
  </si>
  <si>
    <t>181***553</t>
  </si>
  <si>
    <t>2023年4月企业招用高校毕业生社会保险补贴
审批表</t>
  </si>
  <si>
    <t>申请补贴金额</t>
  </si>
  <si>
    <r>
      <rPr>
        <u/>
        <sz val="12"/>
        <color indexed="8"/>
        <rFont val="仿宋_GB2312"/>
        <charset val="134"/>
      </rPr>
      <t xml:space="preserve">   14319.57 </t>
    </r>
    <r>
      <rPr>
        <sz val="12"/>
        <color indexed="8"/>
        <rFont val="仿宋_GB2312"/>
        <charset val="134"/>
      </rPr>
      <t>元</t>
    </r>
  </si>
  <si>
    <t>代缴社会保险费金额                 （含个人缴费部分）</t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</si>
  <si>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>8506.56</t>
    </r>
    <r>
      <rPr>
        <sz val="12"/>
        <color indexed="8"/>
        <rFont val="仿宋_GB2312"/>
        <charset val="134"/>
      </rPr>
      <t>元（其中：企业</t>
    </r>
    <r>
      <rPr>
        <u/>
        <sz val="12"/>
        <color indexed="8"/>
        <rFont val="仿宋_GB2312"/>
        <charset val="134"/>
      </rPr>
      <t xml:space="preserve"> 5671.04</t>
    </r>
    <r>
      <rPr>
        <sz val="12"/>
        <color indexed="8"/>
        <rFont val="仿宋_GB2312"/>
        <charset val="134"/>
      </rPr>
      <t>元，个人</t>
    </r>
    <r>
      <rPr>
        <u/>
        <sz val="12"/>
        <color indexed="8"/>
        <rFont val="仿宋_GB2312"/>
        <charset val="134"/>
      </rPr>
      <t xml:space="preserve"> 2835.52 </t>
    </r>
    <r>
      <rPr>
        <sz val="12"/>
        <color indexed="8"/>
        <rFont val="仿宋_GB2312"/>
        <charset val="134"/>
      </rPr>
      <t>元）</t>
    </r>
  </si>
  <si>
    <r>
      <rPr>
        <sz val="12"/>
        <color indexed="8"/>
        <rFont val="仿宋_GB2312"/>
        <charset val="134"/>
      </rPr>
      <t xml:space="preserve">     基本医疗保险：</t>
    </r>
    <r>
      <rPr>
        <u/>
        <sz val="12"/>
        <color indexed="8"/>
        <rFont val="仿宋_GB2312"/>
        <charset val="134"/>
      </rPr>
      <t xml:space="preserve"> 5458.53</t>
    </r>
    <r>
      <rPr>
        <sz val="12"/>
        <color indexed="8"/>
        <rFont val="仿宋_GB2312"/>
        <charset val="134"/>
      </rPr>
      <t>元（其中：企业</t>
    </r>
    <r>
      <rPr>
        <u/>
        <sz val="12"/>
        <color indexed="8"/>
        <rFont val="仿宋_GB2312"/>
        <charset val="134"/>
      </rPr>
      <t>4466.07</t>
    </r>
    <r>
      <rPr>
        <sz val="12"/>
        <color indexed="8"/>
        <rFont val="仿宋_GB2312"/>
        <charset val="134"/>
      </rPr>
      <t>元，个人</t>
    </r>
    <r>
      <rPr>
        <u/>
        <sz val="12"/>
        <color indexed="8"/>
        <rFont val="仿宋_GB2312"/>
        <charset val="134"/>
      </rPr>
      <t xml:space="preserve"> 992.46 </t>
    </r>
    <r>
      <rPr>
        <sz val="12"/>
        <color indexed="8"/>
        <rFont val="仿宋_GB2312"/>
        <charset val="134"/>
      </rPr>
      <t>元）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</si>
  <si>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354.48 </t>
    </r>
    <r>
      <rPr>
        <sz val="12"/>
        <color indexed="8"/>
        <rFont val="仿宋_GB2312"/>
        <charset val="134"/>
      </rPr>
      <t>元（其中：企业</t>
    </r>
    <r>
      <rPr>
        <u/>
        <sz val="12"/>
        <color indexed="8"/>
        <rFont val="仿宋_GB2312"/>
        <charset val="134"/>
      </rPr>
      <t xml:space="preserve">177.24 </t>
    </r>
    <r>
      <rPr>
        <sz val="12"/>
        <color indexed="8"/>
        <rFont val="仿宋_GB2312"/>
        <charset val="134"/>
      </rPr>
      <t>元，个人</t>
    </r>
    <r>
      <rPr>
        <u/>
        <sz val="12"/>
        <color indexed="8"/>
        <rFont val="仿宋_GB2312"/>
        <charset val="134"/>
      </rPr>
      <t>177.24</t>
    </r>
    <r>
      <rPr>
        <sz val="12"/>
        <color indexed="8"/>
        <rFont val="仿宋_GB2312"/>
        <charset val="134"/>
      </rPr>
      <t>元）</t>
    </r>
  </si>
  <si>
    <t>开户行</t>
  </si>
  <si>
    <t>账号</t>
  </si>
  <si>
    <t>团场社会事务服务中心    初审意见</t>
  </si>
  <si>
    <t>经办人：                    领导签字：</t>
  </si>
  <si>
    <t>单位（盖章）</t>
  </si>
  <si>
    <t xml:space="preserve">                            年   月    日</t>
  </si>
  <si>
    <t>团场社会事务办公室/兵团乌鲁木齐经济技术开发区相关部门/集团公司人资部门审核意见</t>
  </si>
  <si>
    <t>师社会保险管理部门               核查意见</t>
  </si>
  <si>
    <r>
      <rPr>
        <sz val="12"/>
        <color indexed="8"/>
        <rFont val="仿宋_GB2312"/>
        <charset val="134"/>
      </rPr>
      <t xml:space="preserve">   </t>
    </r>
    <r>
      <rPr>
        <sz val="12"/>
        <color indexed="8"/>
        <rFont val="仿宋_GB2312"/>
        <charset val="134"/>
      </rPr>
      <t xml:space="preserve"> </t>
    </r>
    <r>
      <rPr>
        <sz val="12"/>
        <color indexed="8"/>
        <rFont val="仿宋_GB2312"/>
        <charset val="134"/>
      </rPr>
      <t>此次核查申报企业招用高校毕业生社会保险补贴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人，经核查，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人正常缴费（养老保险：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元、医疗保险：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元、失业保险：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元）</t>
    </r>
    <r>
      <rPr>
        <sz val="12"/>
        <color indexed="8"/>
        <rFont val="仿宋_GB2312"/>
        <charset val="134"/>
      </rPr>
      <t xml:space="preserve">。                                                                               </t>
    </r>
  </si>
  <si>
    <t xml:space="preserve">                             年    月    日</t>
  </si>
  <si>
    <t>师公共就业和人才服务局          审核意见</t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</si>
  <si>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个，招用高校毕业生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人，申报企业招用高校毕业生社会保险补贴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万元，经审核，符合申领补贴人数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人</t>
    </r>
    <r>
      <rPr>
        <sz val="12"/>
        <color indexed="8"/>
        <rFont val="仿宋_GB2312"/>
        <charset val="134"/>
      </rPr>
      <t>，补贴金额合计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万元。</t>
    </r>
  </si>
  <si>
    <t>经办人：         审核人：           领导签章：</t>
  </si>
  <si>
    <t xml:space="preserve">单位（盖章）   </t>
  </si>
  <si>
    <t xml:space="preserve">                                 年    月    日  </t>
  </si>
  <si>
    <t>师人力资源和社会保障局         审批意见</t>
  </si>
  <si>
    <t xml:space="preserve">                      领导签章：</t>
  </si>
  <si>
    <t>2023年4月企业招用高校毕业生社会保险补贴花名册</t>
  </si>
  <si>
    <t>填报单位（盖章）： 新疆九鼎农业集团有限公司                       单位：人、元/月</t>
  </si>
  <si>
    <t>族别</t>
  </si>
  <si>
    <t>单位缴费部分</t>
  </si>
  <si>
    <t>个人缴费部分</t>
  </si>
  <si>
    <t>补贴合计</t>
  </si>
  <si>
    <t>补贴起-止年月</t>
  </si>
  <si>
    <t>基本养老保险（16%）</t>
  </si>
  <si>
    <t>基本医疗保险（9%）</t>
  </si>
  <si>
    <t>失业
保险
（0.5）</t>
  </si>
  <si>
    <t>补贴小计</t>
  </si>
  <si>
    <t>13=10+11+12</t>
  </si>
  <si>
    <t>17=14+15+16</t>
  </si>
  <si>
    <t>18=13+17</t>
  </si>
  <si>
    <t>新疆九鼎物流经营管理有限责任公司</t>
  </si>
  <si>
    <t>许蕾</t>
  </si>
  <si>
    <t>汉</t>
  </si>
  <si>
    <t>650103199810200669</t>
  </si>
  <si>
    <t>新疆华威恒远房地产开发有限公司</t>
  </si>
  <si>
    <t>曹凤</t>
  </si>
  <si>
    <t>汉族</t>
  </si>
  <si>
    <t>411528199810185521</t>
  </si>
  <si>
    <t>新疆九鼎检测技术有限公司</t>
  </si>
  <si>
    <t>孔昱轩</t>
  </si>
  <si>
    <t>650103199804300647</t>
  </si>
  <si>
    <t>2022年1月</t>
  </si>
  <si>
    <t>新疆聚鑫运通物流有限公司</t>
  </si>
  <si>
    <t>张俊静</t>
  </si>
  <si>
    <t>652323199509214728</t>
  </si>
  <si>
    <t>田鹏飞</t>
  </si>
  <si>
    <t>652827199809172614</t>
  </si>
  <si>
    <t>新疆九鼎农业集团有限公司</t>
  </si>
  <si>
    <t>韩燕茹</t>
  </si>
  <si>
    <t>652201199907060943</t>
  </si>
  <si>
    <t>2023年4月</t>
  </si>
  <si>
    <r>
      <rPr>
        <sz val="10"/>
        <color indexed="8"/>
        <rFont val="仿宋_GB2312"/>
        <charset val="134"/>
      </rPr>
      <t>鲜</t>
    </r>
    <r>
      <rPr>
        <sz val="10"/>
        <color indexed="8"/>
        <rFont val="宋体"/>
        <charset val="134"/>
      </rPr>
      <t>侁</t>
    </r>
  </si>
  <si>
    <t>回族</t>
  </si>
  <si>
    <t>620525199712162018</t>
  </si>
  <si>
    <t>合   计</t>
  </si>
  <si>
    <t>领导签字：                                           经办人：                                 年   月   日</t>
  </si>
  <si>
    <t>2022年1-6月企业新招用劳动者社会保险补贴补差审批表</t>
  </si>
  <si>
    <t>申请补贴数额</t>
  </si>
  <si>
    <r>
      <rPr>
        <u/>
        <sz val="12"/>
        <color indexed="8"/>
        <rFont val="仿宋_GB2312"/>
        <charset val="134"/>
      </rPr>
      <t xml:space="preserve">       5006.4    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</si>
  <si>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代缴社会保险费数额 </t>
    </r>
    <r>
      <rPr>
        <sz val="12"/>
        <color indexed="8"/>
        <rFont val="仿宋_GB2312"/>
        <charset val="134"/>
      </rPr>
      <t xml:space="preserve">          </t>
    </r>
    <r>
      <rPr>
        <sz val="12"/>
        <color indexed="8"/>
        <rFont val="仿宋_GB2312"/>
        <charset val="134"/>
      </rPr>
      <t>（不含个人缴费）</t>
    </r>
  </si>
  <si>
    <r>
      <rPr>
        <sz val="12"/>
        <color indexed="8"/>
        <rFont val="仿宋_GB2312"/>
        <charset val="134"/>
      </rPr>
      <t>其中：基本养老保险：</t>
    </r>
    <r>
      <rPr>
        <u/>
        <sz val="12"/>
        <color indexed="8"/>
        <rFont val="仿宋_GB2312"/>
        <charset val="134"/>
      </rPr>
      <t xml:space="preserve">   5006.4 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</si>
  <si>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基本医疗保险：</t>
    </r>
    <r>
      <rPr>
        <u/>
        <sz val="12"/>
        <color indexed="8"/>
        <rFont val="仿宋_GB2312"/>
        <charset val="134"/>
      </rPr>
      <t xml:space="preserve">    0  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</si>
  <si>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      失业保险：</t>
    </r>
    <r>
      <rPr>
        <u/>
        <sz val="12"/>
        <color indexed="8"/>
        <rFont val="仿宋_GB2312"/>
        <charset val="134"/>
      </rPr>
      <t xml:space="preserve">      0    </t>
    </r>
    <r>
      <rPr>
        <sz val="12"/>
        <color indexed="8"/>
        <rFont val="仿宋_GB2312"/>
        <charset val="134"/>
      </rPr>
      <t>元</t>
    </r>
  </si>
  <si>
    <r>
      <rPr>
        <sz val="12"/>
        <color indexed="8"/>
        <rFont val="仿宋_GB2312"/>
        <charset val="134"/>
      </rPr>
      <t xml:space="preserve">单位招用就业困难人员 </t>
    </r>
    <r>
      <rPr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总人数</t>
    </r>
  </si>
  <si>
    <t>团场社会事务服务中心 初审意见</t>
  </si>
  <si>
    <t xml:space="preserve">                                                   年    月    日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</si>
  <si>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</si>
  <si>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个，共计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月—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人（基本养老保险补差：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元、基本医疗保险补差：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元、失业保险补差：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</si>
  <si>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t xml:space="preserve">                                        年    月    日</t>
  </si>
  <si>
    <t>师公共就业和人才服务局复核意见</t>
  </si>
  <si>
    <r>
      <rPr>
        <sz val="12"/>
        <color indexed="8"/>
        <rFont val="仿宋_GB2312"/>
        <charset val="134"/>
      </rPr>
      <t xml:space="preserve">    此次申报企业新招用劳动者社会保险补贴补差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万元，经审核，符合申领社会保险补贴补差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</t>
    </r>
    <r>
      <rPr>
        <sz val="12"/>
        <color indexed="8"/>
        <rFont val="仿宋_GB2312"/>
        <charset val="134"/>
      </rPr>
      <t>万元。</t>
    </r>
  </si>
  <si>
    <t xml:space="preserve">经办人：         审核人：           领导签章：   </t>
  </si>
  <si>
    <t xml:space="preserve">  单位（盖章）</t>
  </si>
  <si>
    <t xml:space="preserve">                                         年    月    日  </t>
  </si>
  <si>
    <t>师人力资源和社会保障局审批意见</t>
  </si>
  <si>
    <t>领导签章：</t>
  </si>
  <si>
    <t xml:space="preserve">                               年    月    日</t>
  </si>
  <si>
    <t>2022年1-7月企业新招用劳动者社会保险补贴补差汇总表</t>
  </si>
  <si>
    <t>填报单位（盖章）：新疆九鼎农业集团有限公司                                                                     单位：人、元</t>
  </si>
  <si>
    <t>补贴人数</t>
  </si>
  <si>
    <t>基本养老保险补贴补差金额</t>
  </si>
  <si>
    <t>基本医疗保险补贴补差金额</t>
  </si>
  <si>
    <t>失业保险补贴补差金额</t>
  </si>
  <si>
    <t>补贴补差金额合计</t>
  </si>
  <si>
    <t>备注</t>
  </si>
  <si>
    <t>其中：女性</t>
  </si>
  <si>
    <t>新疆盛和果品经营管理有限公司</t>
  </si>
  <si>
    <t>新疆九鼎农产品经营管理有限公司</t>
  </si>
  <si>
    <t>新疆九鼎恒兴蔬菜经营管理有限公司</t>
  </si>
  <si>
    <t>新疆九鼎供应链管理有限公司</t>
  </si>
  <si>
    <t>新疆中瑞德盈国际物流股份有限公司</t>
  </si>
  <si>
    <t>新疆九鼎农产品检测技术有限公司</t>
  </si>
  <si>
    <t>…</t>
  </si>
  <si>
    <t>合计</t>
  </si>
  <si>
    <t>2022年1-6月企业新招用劳动者社会保险补贴补差花名册</t>
  </si>
  <si>
    <t>填报单位（盖章）：新疆九鼎农业集团有限公司</t>
  </si>
  <si>
    <t>补贴补差起-止月份</t>
  </si>
  <si>
    <t>基本养老保险（元/月）（16%）</t>
  </si>
  <si>
    <t>基本医疗保险（元/月）          （9%）</t>
  </si>
  <si>
    <t>失业保险（元/月）            （0.5%）</t>
  </si>
  <si>
    <r>
      <rPr>
        <sz val="10"/>
        <color indexed="8"/>
        <rFont val="仿宋_GB2312"/>
        <charset val="134"/>
      </rPr>
      <t xml:space="preserve">补贴补差 小计       </t>
    </r>
    <r>
      <rPr>
        <sz val="10.5"/>
        <color indexed="8"/>
        <rFont val="仿宋_GB2312"/>
        <charset val="134"/>
      </rPr>
      <t>（元/月）</t>
    </r>
  </si>
  <si>
    <t>补贴月数</t>
  </si>
  <si>
    <t>补贴补差合计（元）</t>
  </si>
  <si>
    <t>缴费     基数</t>
  </si>
  <si>
    <t>原补贴标准</t>
  </si>
  <si>
    <t>应补贴标准</t>
  </si>
  <si>
    <t>补贴补差</t>
  </si>
  <si>
    <t>11=10-9</t>
  </si>
  <si>
    <t>15=14-13</t>
  </si>
  <si>
    <t>19=18-17</t>
  </si>
  <si>
    <t>20=11+15+19</t>
  </si>
  <si>
    <t>22=20*21</t>
  </si>
  <si>
    <t>赵德响</t>
  </si>
  <si>
    <t>650103197601240630</t>
  </si>
  <si>
    <t>2022年1-6月</t>
  </si>
  <si>
    <t>钟瑞凯</t>
  </si>
  <si>
    <t>650121199007172411</t>
  </si>
  <si>
    <t>沈亚静</t>
  </si>
  <si>
    <t>650121197801282424</t>
  </si>
  <si>
    <t>4253</t>
  </si>
  <si>
    <t>6</t>
  </si>
  <si>
    <t>祖拉什汗·巴合德力</t>
  </si>
  <si>
    <t>哈萨克族</t>
  </si>
  <si>
    <t>654325198706050929</t>
  </si>
  <si>
    <t>吉尔乃尔·阿衣庆</t>
  </si>
  <si>
    <t>650103198303034729</t>
  </si>
  <si>
    <t>2</t>
  </si>
  <si>
    <t>黄平国</t>
  </si>
  <si>
    <t>612401196507207512</t>
  </si>
  <si>
    <t>顾欣欣</t>
  </si>
  <si>
    <t>65010619930228202x</t>
  </si>
  <si>
    <t>李金兰</t>
  </si>
  <si>
    <t>652322197309082542</t>
  </si>
  <si>
    <t>姜国英</t>
  </si>
  <si>
    <t>341282196704165519</t>
  </si>
  <si>
    <t>注：1.人员类别：普通劳动者；就业困难人员，不含高校毕业生。2.普通劳动者只填报养老部分；就业困难人员填报3项保险。3.国有企业自行申报，其他企业由所属辖区团场或兵团乌鲁木齐经济技术开发区申报。</t>
  </si>
  <si>
    <t>2022年1-7月企业招用高校毕业生社会保险补贴
补差审批表</t>
  </si>
  <si>
    <r>
      <rPr>
        <u/>
        <sz val="12"/>
        <color indexed="8"/>
        <rFont val="仿宋_GB2312"/>
        <charset val="134"/>
      </rPr>
      <t xml:space="preserve">        1641.48         </t>
    </r>
    <r>
      <rPr>
        <sz val="12"/>
        <color indexed="8"/>
        <rFont val="仿宋_GB2312"/>
        <charset val="134"/>
      </rPr>
      <t>元</t>
    </r>
  </si>
  <si>
    <t>代缴社会保险费金额（含个人缴费）</t>
  </si>
  <si>
    <r>
      <rPr>
        <sz val="10"/>
        <color indexed="8"/>
        <rFont val="仿宋_GB2312"/>
        <charset val="134"/>
      </rPr>
      <t>其中：基本养老保险补差：</t>
    </r>
    <r>
      <rPr>
        <u/>
        <sz val="10"/>
        <color indexed="8"/>
        <rFont val="仿宋_GB2312"/>
        <charset val="134"/>
      </rPr>
      <t xml:space="preserve"> 338.4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225.6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 112.8  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</si>
  <si>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基本医疗保险补差：</t>
    </r>
    <r>
      <rPr>
        <u/>
        <sz val="10"/>
        <color indexed="8"/>
        <rFont val="仿宋_GB2312"/>
        <charset val="134"/>
      </rPr>
      <t xml:space="preserve">    1288.98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1054.62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234.36 </t>
    </r>
    <r>
      <rPr>
        <sz val="10"/>
        <color indexed="8"/>
        <rFont val="仿宋_GB2312"/>
        <charset val="134"/>
      </rPr>
      <t>元）</t>
    </r>
  </si>
  <si>
    <r>
      <rPr>
        <sz val="10"/>
        <color indexed="8"/>
        <rFont val="仿宋_GB2312"/>
        <charset val="134"/>
      </rPr>
      <t xml:space="preserve">      失业保险补差：</t>
    </r>
    <r>
      <rPr>
        <u/>
        <sz val="10"/>
        <color indexed="8"/>
        <rFont val="仿宋_GB2312"/>
        <charset val="134"/>
      </rPr>
      <t xml:space="preserve">      14.1    </t>
    </r>
    <r>
      <rPr>
        <sz val="10"/>
        <color indexed="8"/>
        <rFont val="仿宋_GB2312"/>
        <charset val="134"/>
      </rPr>
      <t>元（企业</t>
    </r>
    <r>
      <rPr>
        <u/>
        <sz val="10"/>
        <color indexed="8"/>
        <rFont val="仿宋_GB2312"/>
        <charset val="134"/>
      </rPr>
      <t xml:space="preserve">   7.05    </t>
    </r>
    <r>
      <rPr>
        <sz val="10"/>
        <color indexed="8"/>
        <rFont val="仿宋_GB2312"/>
        <charset val="134"/>
      </rPr>
      <t>元，个人</t>
    </r>
    <r>
      <rPr>
        <u/>
        <sz val="10"/>
        <color indexed="8"/>
        <rFont val="仿宋_GB2312"/>
        <charset val="134"/>
      </rPr>
      <t xml:space="preserve"> 7.05    </t>
    </r>
    <r>
      <rPr>
        <sz val="10"/>
        <color indexed="8"/>
        <rFont val="仿宋_GB2312"/>
        <charset val="134"/>
      </rPr>
      <t>元）</t>
    </r>
  </si>
  <si>
    <t>团场社会事务办公室/兵团乌鲁木齐工业园区相关部门/集团公司人资部门审核意见</t>
  </si>
  <si>
    <t xml:space="preserve">                                       年    月    日</t>
  </si>
  <si>
    <r>
      <rPr>
        <sz val="12"/>
        <color indexed="8"/>
        <rFont val="仿宋_GB2312"/>
        <charset val="134"/>
      </rPr>
      <t xml:space="preserve">师社会保险管理部门 </t>
    </r>
    <r>
      <rPr>
        <sz val="12"/>
        <color indexed="8"/>
        <rFont val="仿宋_GB2312"/>
        <charset val="134"/>
      </rPr>
      <t xml:space="preserve">   </t>
    </r>
    <r>
      <rPr>
        <sz val="12"/>
        <color indexed="8"/>
        <rFont val="仿宋_GB2312"/>
        <charset val="134"/>
      </rPr>
      <t>核查意见</t>
    </r>
  </si>
  <si>
    <r>
      <rPr>
        <sz val="12"/>
        <color indexed="8"/>
        <rFont val="仿宋_GB2312"/>
        <charset val="134"/>
      </rPr>
      <t xml:space="preserve">    此次核查申报企业招用高校毕业生社会保险补贴补差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人，经核查，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 年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 xml:space="preserve">月- 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月社会保险缴费记录，其中补差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人（养老保险：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元、医疗保险：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>元、失业保险：</t>
    </r>
    <r>
      <rPr>
        <u/>
        <sz val="12"/>
        <color indexed="8"/>
        <rFont val="仿宋_GB2312"/>
        <charset val="134"/>
      </rPr>
      <t xml:space="preserve">       </t>
    </r>
    <r>
      <rPr>
        <sz val="12"/>
        <color indexed="8"/>
        <rFont val="仿宋_GB2312"/>
        <charset val="134"/>
      </rPr>
      <t xml:space="preserve">元）。                                                                                   </t>
    </r>
    <r>
      <rPr>
        <sz val="12"/>
        <color indexed="8"/>
        <rFont val="仿宋_GB2312"/>
        <charset val="134"/>
      </rPr>
      <t xml:space="preserve">                                                                                   </t>
    </r>
  </si>
  <si>
    <r>
      <rPr>
        <sz val="12"/>
        <color indexed="8"/>
        <rFont val="仿宋_GB2312"/>
        <charset val="134"/>
      </rPr>
      <t xml:space="preserve">    此次申报企业</t>
    </r>
    <r>
      <rPr>
        <u/>
        <sz val="12"/>
        <color indexed="8"/>
        <rFont val="仿宋_GB2312"/>
        <charset val="134"/>
      </rPr>
      <t xml:space="preserve">    </t>
    </r>
    <r>
      <rPr>
        <sz val="12"/>
        <color indexed="8"/>
        <rFont val="仿宋_GB2312"/>
        <charset val="134"/>
      </rPr>
      <t>个，企业招用高校毕业生社会保险补贴补差</t>
    </r>
    <r>
      <rPr>
        <u/>
        <sz val="12"/>
        <color indexed="8"/>
        <rFont val="仿宋_GB2312"/>
        <charset val="134"/>
      </rPr>
      <t xml:space="preserve">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万元，经审核，符合申领企业招用高校毕业生社会保险补贴补差</t>
    </r>
    <r>
      <rPr>
        <u/>
        <sz val="12"/>
        <color indexed="8"/>
        <rFont val="仿宋_GB2312"/>
        <charset val="134"/>
      </rPr>
      <t xml:space="preserve">      </t>
    </r>
    <r>
      <rPr>
        <sz val="12"/>
        <color indexed="8"/>
        <rFont val="仿宋_GB2312"/>
        <charset val="134"/>
      </rPr>
      <t>人，补贴补差金额合计</t>
    </r>
    <r>
      <rPr>
        <u/>
        <sz val="12"/>
        <color indexed="8"/>
        <rFont val="仿宋_GB2312"/>
        <charset val="134"/>
      </rPr>
      <t xml:space="preserve">         </t>
    </r>
    <r>
      <rPr>
        <sz val="12"/>
        <color indexed="8"/>
        <rFont val="仿宋_GB2312"/>
        <charset val="134"/>
      </rPr>
      <t>万元。</t>
    </r>
  </si>
  <si>
    <t>经办人：         审核人：            领导签章：</t>
  </si>
  <si>
    <t>2022年1-7月企业招用高校毕业生社会保险补贴补差花名册（单位缴费部分）</t>
  </si>
  <si>
    <t>基本医疗保险（元/月）（9%）</t>
  </si>
  <si>
    <t>失业保险（元/月）           （0.5%）</t>
  </si>
  <si>
    <r>
      <rPr>
        <sz val="10"/>
        <color indexed="8"/>
        <rFont val="仿宋_GB2312"/>
        <charset val="134"/>
      </rPr>
      <t>补贴补差金额小计</t>
    </r>
    <r>
      <rPr>
        <sz val="10"/>
        <color indexed="8"/>
        <rFont val="仿宋_GB2312"/>
        <charset val="134"/>
      </rPr>
      <t>（元/月）</t>
    </r>
  </si>
  <si>
    <t>补贴补差金额合计（元）</t>
  </si>
  <si>
    <t>补贴   补差</t>
  </si>
  <si>
    <t>2022年1-7月</t>
  </si>
  <si>
    <t>2022年1-7月企业招用高校毕业生社会保险补贴补差花名册（个人缴费部分）</t>
  </si>
  <si>
    <t>基本养老保险（元/月）（8%）</t>
  </si>
  <si>
    <t>基本医疗保险（元/月）（2%）</t>
  </si>
  <si>
    <t>补贴     补差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</si>
</sst>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177" formatCode="#,##0.00_ "/>
    <numFmt numFmtId="178" formatCode="0_ "/>
    <numFmt numFmtId="179" formatCode="yyyy&quot;年&quot;m&quot;月&quot;;@"/>
  </numFmts>
  <fonts count="43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2"/>
      <color indexed="8"/>
      <name val="仿宋_GB2312"/>
      <charset val="134"/>
    </font>
    <font>
      <sz val="10"/>
      <color indexed="8"/>
      <name val="仿宋_GB2312"/>
      <charset val="134"/>
    </font>
    <font>
      <sz val="7.5"/>
      <color indexed="8"/>
      <name val="仿宋_GB2312"/>
      <charset val="134"/>
    </font>
    <font>
      <sz val="10.5"/>
      <color indexed="8"/>
      <name val="仿宋_GB2312"/>
      <charset val="134"/>
    </font>
    <font>
      <sz val="16"/>
      <color indexed="8"/>
      <name val="仿宋_GB2312"/>
      <charset val="134"/>
    </font>
    <font>
      <sz val="10"/>
      <color indexed="8"/>
      <name val="宋体"/>
      <charset val="134"/>
    </font>
    <font>
      <sz val="10.5"/>
      <color indexed="8"/>
      <name val="宋体"/>
      <charset val="134"/>
    </font>
    <font>
      <u/>
      <sz val="12"/>
      <color indexed="8"/>
      <name val="仿宋_GB2312"/>
      <charset val="134"/>
    </font>
    <font>
      <sz val="10"/>
      <name val="宋体"/>
      <charset val="134"/>
    </font>
    <font>
      <sz val="11"/>
      <color indexed="8"/>
      <name val="仿宋_GB2312"/>
      <charset val="134"/>
    </font>
    <font>
      <b/>
      <sz val="8"/>
      <color indexed="8"/>
      <name val="仿宋_GB2312"/>
      <charset val="134"/>
    </font>
    <font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10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宋体"/>
      <charset val="204"/>
    </font>
    <font>
      <sz val="11"/>
      <name val="仿宋_GB2312"/>
      <charset val="134"/>
    </font>
    <font>
      <sz val="11"/>
      <name val="宋体"/>
      <charset val="0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u/>
      <sz val="10"/>
      <color indexed="8"/>
      <name val="仿宋_GB2312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8" borderId="2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2" fillId="2" borderId="24" applyNumberFormat="0" applyAlignment="0" applyProtection="0">
      <alignment vertical="center"/>
    </xf>
    <xf numFmtId="0" fontId="26" fillId="2" borderId="21" applyNumberFormat="0" applyAlignment="0" applyProtection="0">
      <alignment vertical="center"/>
    </xf>
    <xf numFmtId="0" fontId="38" fillId="14" borderId="27" applyNumberFormat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9" fillId="0" borderId="28" applyNumberFormat="0" applyFill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176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7" fillId="2" borderId="2" xfId="54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78" fontId="7" fillId="2" borderId="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0" xfId="0" applyFont="1">
      <alignment vertic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0" fillId="2" borderId="0" xfId="0" applyFill="1">
      <alignment vertical="center"/>
    </xf>
    <xf numFmtId="179" fontId="0" fillId="2" borderId="0" xfId="0" applyNumberForma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1" fillId="2" borderId="16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6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78" fontId="7" fillId="3" borderId="2" xfId="0" applyNumberFormat="1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top" wrapText="1"/>
    </xf>
    <xf numFmtId="176" fontId="12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16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shrinkToFit="1"/>
    </xf>
    <xf numFmtId="179" fontId="1" fillId="2" borderId="0" xfId="0" applyNumberFormat="1" applyFont="1" applyFill="1" applyAlignment="1">
      <alignment horizontal="center" vertical="center"/>
    </xf>
    <xf numFmtId="179" fontId="2" fillId="2" borderId="1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 wrapText="1"/>
    </xf>
    <xf numFmtId="179" fontId="3" fillId="2" borderId="9" xfId="0" applyNumberFormat="1" applyFont="1" applyFill="1" applyBorder="1" applyAlignment="1">
      <alignment horizontal="center" vertical="center" wrapText="1"/>
    </xf>
    <xf numFmtId="179" fontId="3" fillId="2" borderId="1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3" fillId="2" borderId="12" xfId="0" applyNumberFormat="1" applyFont="1" applyFill="1" applyBorder="1" applyAlignment="1">
      <alignment horizontal="center" vertical="center" wrapText="1"/>
    </xf>
    <xf numFmtId="179" fontId="3" fillId="2" borderId="13" xfId="0" applyNumberFormat="1" applyFont="1" applyFill="1" applyBorder="1" applyAlignment="1">
      <alignment horizontal="center" vertical="center" wrapText="1"/>
    </xf>
    <xf numFmtId="179" fontId="3" fillId="2" borderId="3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57" fontId="7" fillId="2" borderId="2" xfId="0" applyNumberFormat="1" applyFont="1" applyFill="1" applyBorder="1" applyAlignment="1">
      <alignment horizontal="center" vertical="center" wrapText="1"/>
    </xf>
    <xf numFmtId="179" fontId="7" fillId="2" borderId="2" xfId="0" applyNumberFormat="1" applyFont="1" applyFill="1" applyBorder="1" applyAlignment="1">
      <alignment horizontal="center" vertical="center" wrapText="1"/>
    </xf>
    <xf numFmtId="49" fontId="16" fillId="2" borderId="2" xfId="9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4" fillId="3" borderId="2" xfId="0" applyFont="1" applyFill="1" applyBorder="1" applyAlignment="1">
      <alignment horizontal="center" vertical="center" wrapText="1"/>
    </xf>
    <xf numFmtId="179" fontId="7" fillId="3" borderId="2" xfId="0" applyNumberFormat="1" applyFont="1" applyFill="1" applyBorder="1" applyAlignment="1">
      <alignment horizontal="center" vertical="center" wrapText="1"/>
    </xf>
    <xf numFmtId="49" fontId="16" fillId="3" borderId="2" xfId="9" applyNumberFormat="1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79" fontId="0" fillId="2" borderId="2" xfId="0" applyNumberForma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Fill="1">
      <alignment vertical="center"/>
    </xf>
    <xf numFmtId="176" fontId="17" fillId="0" borderId="0" xfId="0" applyNumberFormat="1" applyFont="1" applyFill="1">
      <alignment vertical="center"/>
    </xf>
    <xf numFmtId="179" fontId="17" fillId="0" borderId="0" xfId="0" applyNumberFormat="1" applyFont="1" applyFill="1">
      <alignment vertical="center"/>
    </xf>
    <xf numFmtId="0" fontId="18" fillId="0" borderId="0" xfId="0" applyFont="1" applyFill="1" applyAlignment="1">
      <alignment horizontal="center" vertical="center"/>
    </xf>
    <xf numFmtId="176" fontId="18" fillId="0" borderId="0" xfId="0" applyNumberFormat="1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176" fontId="19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178" fontId="19" fillId="0" borderId="3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178" fontId="17" fillId="0" borderId="2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17" fillId="0" borderId="2" xfId="0" applyNumberFormat="1" applyFont="1" applyFill="1" applyBorder="1" applyAlignment="1">
      <alignment horizontal="center" vertical="center" wrapText="1" shrinkToFit="1"/>
    </xf>
    <xf numFmtId="49" fontId="17" fillId="0" borderId="2" xfId="52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 wrapText="1"/>
    </xf>
    <xf numFmtId="49" fontId="17" fillId="0" borderId="18" xfId="0" applyNumberFormat="1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49" fontId="10" fillId="0" borderId="18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179" fontId="18" fillId="0" borderId="0" xfId="0" applyNumberFormat="1" applyFont="1" applyFill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176" fontId="19" fillId="0" borderId="3" xfId="0" applyNumberFormat="1" applyFont="1" applyFill="1" applyBorder="1" applyAlignment="1">
      <alignment horizontal="center" vertical="center" wrapText="1"/>
    </xf>
    <xf numFmtId="179" fontId="19" fillId="0" borderId="9" xfId="0" applyNumberFormat="1" applyFont="1" applyFill="1" applyBorder="1" applyAlignment="1">
      <alignment horizontal="center" vertical="center" wrapText="1"/>
    </xf>
    <xf numFmtId="179" fontId="19" fillId="0" borderId="11" xfId="0" applyNumberFormat="1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176" fontId="16" fillId="0" borderId="4" xfId="0" applyNumberFormat="1" applyFont="1" applyFill="1" applyBorder="1" applyAlignment="1">
      <alignment horizontal="center" vertical="center" wrapText="1"/>
    </xf>
    <xf numFmtId="179" fontId="16" fillId="0" borderId="14" xfId="0" applyNumberFormat="1" applyFont="1" applyFill="1" applyBorder="1" applyAlignment="1">
      <alignment horizontal="center" vertical="center" wrapText="1"/>
    </xf>
    <xf numFmtId="179" fontId="16" fillId="0" borderId="1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/>
    </xf>
    <xf numFmtId="9" fontId="17" fillId="0" borderId="2" xfId="0" applyNumberFormat="1" applyFont="1" applyFill="1" applyBorder="1" applyAlignment="1">
      <alignment horizontal="center" vertical="center" wrapText="1"/>
    </xf>
    <xf numFmtId="57" fontId="17" fillId="0" borderId="2" xfId="0" applyNumberFormat="1" applyFont="1" applyFill="1" applyBorder="1" applyAlignment="1">
      <alignment horizontal="center" vertical="center" wrapText="1"/>
    </xf>
    <xf numFmtId="179" fontId="17" fillId="0" borderId="2" xfId="0" applyNumberFormat="1" applyFont="1" applyFill="1" applyBorder="1" applyAlignment="1">
      <alignment horizontal="center" vertical="center" wrapText="1"/>
    </xf>
    <xf numFmtId="176" fontId="17" fillId="0" borderId="2" xfId="0" applyNumberFormat="1" applyFont="1" applyFill="1" applyBorder="1" applyAlignment="1">
      <alignment horizontal="center" vertical="center" wrapText="1" shrinkToFit="1"/>
    </xf>
    <xf numFmtId="176" fontId="17" fillId="0" borderId="5" xfId="0" applyNumberFormat="1" applyFont="1" applyFill="1" applyBorder="1" applyAlignment="1">
      <alignment horizontal="center" vertical="center" wrapText="1"/>
    </xf>
    <xf numFmtId="178" fontId="17" fillId="0" borderId="5" xfId="0" applyNumberFormat="1" applyFont="1" applyFill="1" applyBorder="1" applyAlignment="1">
      <alignment horizontal="center" vertical="center" wrapText="1"/>
    </xf>
    <xf numFmtId="49" fontId="17" fillId="0" borderId="1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178" fontId="17" fillId="0" borderId="3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/>
    </xf>
    <xf numFmtId="49" fontId="17" fillId="0" borderId="4" xfId="0" applyNumberFormat="1" applyFont="1" applyFill="1" applyBorder="1" applyAlignment="1">
      <alignment horizontal="center" vertical="center" wrapText="1"/>
    </xf>
    <xf numFmtId="178" fontId="17" fillId="0" borderId="4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178" fontId="22" fillId="0" borderId="2" xfId="0" applyNumberFormat="1" applyFont="1" applyFill="1" applyBorder="1" applyAlignment="1">
      <alignment horizontal="center" vertical="center" wrapText="1"/>
    </xf>
    <xf numFmtId="176" fontId="17" fillId="0" borderId="3" xfId="0" applyNumberFormat="1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179" fontId="17" fillId="0" borderId="3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9" fontId="17" fillId="0" borderId="4" xfId="0" applyNumberFormat="1" applyFont="1" applyFill="1" applyBorder="1" applyAlignment="1">
      <alignment horizontal="center" vertical="center" wrapText="1"/>
    </xf>
    <xf numFmtId="176" fontId="22" fillId="0" borderId="2" xfId="0" applyNumberFormat="1" applyFont="1" applyFill="1" applyBorder="1" applyAlignment="1">
      <alignment horizontal="center" vertical="center" wrapText="1"/>
    </xf>
    <xf numFmtId="178" fontId="22" fillId="0" borderId="2" xfId="9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178" fontId="22" fillId="0" borderId="5" xfId="0" applyNumberFormat="1" applyFont="1" applyFill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178" fontId="22" fillId="0" borderId="3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quotePrefix="1">
      <alignment horizontal="center" vertical="center" wrapText="1"/>
    </xf>
    <xf numFmtId="0" fontId="3" fillId="2" borderId="5" xfId="0" applyFont="1" applyFill="1" applyBorder="1" applyAlignment="1" quotePrefix="1">
      <alignment horizontal="center" vertical="center" wrapText="1"/>
    </xf>
    <xf numFmtId="0" fontId="11" fillId="3" borderId="16" xfId="0" applyNumberFormat="1" applyFont="1" applyFill="1" applyBorder="1" applyAlignment="1" quotePrefix="1">
      <alignment horizontal="center" vertical="center" wrapText="1"/>
    </xf>
    <xf numFmtId="0" fontId="3" fillId="2" borderId="4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常规 18" xfId="5"/>
    <cellStyle name="百分比" xfId="6" builtinId="5"/>
    <cellStyle name="标题" xfId="7"/>
    <cellStyle name="货币[0]" xfId="8" builtinId="7"/>
    <cellStyle name="常规 10 10 2 2" xfId="9"/>
    <cellStyle name="超链接" xfId="10" builtinId="8"/>
    <cellStyle name="注释" xfId="11"/>
    <cellStyle name="已访问的超链接" xfId="12" builtinId="9"/>
    <cellStyle name="60% - 强调文字颜色 2" xfId="13"/>
    <cellStyle name="标题 4" xfId="14"/>
    <cellStyle name="警告文本" xfId="15"/>
    <cellStyle name="解释性文本" xfId="16"/>
    <cellStyle name="百分比 4" xfId="17"/>
    <cellStyle name="标题 1" xfId="18"/>
    <cellStyle name="标题 2" xfId="19"/>
    <cellStyle name="60% - 强调文字颜色 1" xfId="20"/>
    <cellStyle name="标题 3" xfId="21"/>
    <cellStyle name="20% - 强调文字颜色 3" xfId="22"/>
    <cellStyle name="输入" xfId="23"/>
    <cellStyle name="60% - 强调文字颜色 4" xfId="24"/>
    <cellStyle name="输出" xfId="25"/>
    <cellStyle name="计算" xfId="26"/>
    <cellStyle name="检查单元格" xfId="27"/>
    <cellStyle name="百分比 12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40% - 强调文字颜色 3" xfId="34"/>
    <cellStyle name="差" xfId="35"/>
    <cellStyle name="适中" xfId="36"/>
    <cellStyle name="20% - 强调文字颜色 5" xfId="37"/>
    <cellStyle name="强调文字颜色 1" xfId="38"/>
    <cellStyle name="20% - 强调文字颜色 1" xfId="39"/>
    <cellStyle name="40% - 强调文字颜色 1" xfId="40"/>
    <cellStyle name="20% - 强调文字颜色 2" xfId="41"/>
    <cellStyle name="40% - 强调文字颜色 2" xfId="42"/>
    <cellStyle name="强调文字颜色 3" xfId="43"/>
    <cellStyle name="60% - 强调文字颜色 3" xfId="44"/>
    <cellStyle name="20% - 强调文字颜色 4" xfId="45"/>
    <cellStyle name="40% - 强调文字颜色 4" xfId="46"/>
    <cellStyle name="强调文字颜色 5" xfId="47"/>
    <cellStyle name="常规 2 2" xfId="48"/>
    <cellStyle name="40% - 强调文字颜色 5" xfId="49"/>
    <cellStyle name="60% - 强调文字颜色 5" xfId="50"/>
    <cellStyle name="强调文字颜色 6" xfId="51"/>
    <cellStyle name="常规 10" xfId="52"/>
    <cellStyle name="40% - 强调文字颜色 6" xfId="53"/>
    <cellStyle name="常规 2 10" xfId="54"/>
    <cellStyle name="60% - 强调文字颜色 6" xfId="55"/>
    <cellStyle name="常规 2" xfId="56"/>
    <cellStyle name="常规 19" xfId="57"/>
    <cellStyle name="常规 3" xfId="58"/>
    <cellStyle name="常规 10 3 3" xfId="59"/>
    <cellStyle name="常规_Sheet1_温泉10年01-12月社保明细表" xfId="60"/>
    <cellStyle name="常规 2 10 2" xfId="61"/>
  </cellStyles>
  <dxfs count="6">
    <dxf>
      <font>
        <color indexed="16"/>
      </font>
      <fill>
        <patternFill>
          <fgColor indexed="10"/>
          <bgColor indexed="45"/>
        </patternFill>
      </fill>
    </dxf>
    <dxf>
      <font>
        <b val="0"/>
        <i val="0"/>
        <sz val="12"/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ont>
        <color indexed="16"/>
      </font>
      <fill>
        <patternFill>
          <fgColor indexed="10"/>
          <bgColor indexed="45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drawings/drawing2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175"/>
  <sheetViews>
    <sheetView tabSelected="1" zoomScale="90" zoomScaleNormal="90" workbookViewId="0">
      <pane ySplit="5" topLeftCell="A14" activePane="bottomLeft" state="frozen"/>
      <selection/>
      <selection pane="bottomLeft" activeCell="I20" sqref="I20"/>
    </sheetView>
  </sheetViews>
  <sheetFormatPr defaultColWidth="9" defaultRowHeight="14.4"/>
  <cols>
    <col min="1" max="1" width="4.44444444444444" style="140" customWidth="1"/>
    <col min="2" max="2" width="30.6666666666667" style="140" customWidth="1"/>
    <col min="3" max="3" width="22.1111111111111" style="140" customWidth="1"/>
    <col min="4" max="4" width="5.55555555555556" style="140" customWidth="1"/>
    <col min="5" max="5" width="16.1666666666667" style="140" customWidth="1"/>
    <col min="6" max="6" width="13.3240740740741" style="140" customWidth="1"/>
    <col min="7" max="7" width="13.6944444444444" style="140" customWidth="1"/>
    <col min="8" max="8" width="9.44444444444444" style="148" customWidth="1"/>
    <col min="9" max="9" width="7.33333333333333" style="148" customWidth="1"/>
    <col min="10" max="10" width="10.6666666666667" style="148" customWidth="1"/>
    <col min="11" max="11" width="11" style="148" customWidth="1"/>
    <col min="12" max="12" width="9.55555555555556" style="148" customWidth="1"/>
    <col min="13" max="13" width="6.66666666666667" style="140" customWidth="1"/>
    <col min="14" max="14" width="13.5740740740741" style="148" customWidth="1"/>
    <col min="15" max="16" width="11.8888888888889" style="149" customWidth="1"/>
    <col min="17" max="17" width="5.37962962962963" style="140" customWidth="1"/>
    <col min="18" max="16384" width="9" style="140"/>
  </cols>
  <sheetData>
    <row r="1" ht="40" customHeight="1" spans="1:17">
      <c r="A1" s="150" t="s">
        <v>0</v>
      </c>
      <c r="B1" s="150"/>
      <c r="C1" s="150"/>
      <c r="D1" s="150"/>
      <c r="E1" s="150"/>
      <c r="F1" s="150"/>
      <c r="G1" s="150"/>
      <c r="H1" s="151"/>
      <c r="I1" s="151"/>
      <c r="J1" s="151"/>
      <c r="K1" s="151"/>
      <c r="L1" s="151"/>
      <c r="M1" s="150"/>
      <c r="N1" s="151"/>
      <c r="O1" s="184"/>
      <c r="P1" s="184"/>
      <c r="Q1" s="150"/>
    </row>
    <row r="2" ht="19" customHeight="1" spans="1:17">
      <c r="A2" s="152" t="s">
        <v>1</v>
      </c>
      <c r="B2" s="152" t="s">
        <v>2</v>
      </c>
      <c r="C2" s="152" t="s">
        <v>3</v>
      </c>
      <c r="D2" s="152" t="s">
        <v>4</v>
      </c>
      <c r="E2" s="152" t="s">
        <v>5</v>
      </c>
      <c r="F2" s="152" t="s">
        <v>6</v>
      </c>
      <c r="G2" s="152" t="s">
        <v>7</v>
      </c>
      <c r="H2" s="153" t="s">
        <v>8</v>
      </c>
      <c r="I2" s="153"/>
      <c r="J2" s="153" t="s">
        <v>9</v>
      </c>
      <c r="K2" s="153"/>
      <c r="L2" s="153"/>
      <c r="M2" s="185" t="s">
        <v>10</v>
      </c>
      <c r="N2" s="186" t="s">
        <v>11</v>
      </c>
      <c r="O2" s="187" t="s">
        <v>12</v>
      </c>
      <c r="P2" s="188"/>
      <c r="Q2" s="185" t="s">
        <v>13</v>
      </c>
    </row>
    <row r="3" s="147" customFormat="1" ht="27" customHeight="1" spans="1:17">
      <c r="A3" s="154"/>
      <c r="B3" s="154"/>
      <c r="C3" s="154"/>
      <c r="D3" s="154"/>
      <c r="E3" s="154"/>
      <c r="F3" s="154"/>
      <c r="G3" s="154"/>
      <c r="H3" s="155" t="s">
        <v>14</v>
      </c>
      <c r="I3" s="155" t="s">
        <v>15</v>
      </c>
      <c r="J3" s="189" t="s">
        <v>16</v>
      </c>
      <c r="K3" s="189" t="s">
        <v>17</v>
      </c>
      <c r="L3" s="189" t="s">
        <v>18</v>
      </c>
      <c r="M3" s="154"/>
      <c r="N3" s="190"/>
      <c r="O3" s="191"/>
      <c r="P3" s="192"/>
      <c r="Q3" s="154"/>
    </row>
    <row r="4" s="147" customFormat="1" ht="30" customHeight="1" spans="1:17">
      <c r="A4" s="156"/>
      <c r="B4" s="156"/>
      <c r="C4" s="156"/>
      <c r="D4" s="156"/>
      <c r="E4" s="156"/>
      <c r="F4" s="156"/>
      <c r="G4" s="156"/>
      <c r="H4" s="157"/>
      <c r="I4" s="157"/>
      <c r="J4" s="189"/>
      <c r="K4" s="189"/>
      <c r="L4" s="189"/>
      <c r="M4" s="156"/>
      <c r="N4" s="157"/>
      <c r="O4" s="193" t="s">
        <v>19</v>
      </c>
      <c r="P4" s="193" t="s">
        <v>20</v>
      </c>
      <c r="Q4" s="156"/>
    </row>
    <row r="5" ht="22" customHeight="1" spans="1:17">
      <c r="A5" s="158">
        <v>1</v>
      </c>
      <c r="B5" s="152">
        <v>2</v>
      </c>
      <c r="C5" s="152">
        <v>3</v>
      </c>
      <c r="D5" s="152">
        <v>4</v>
      </c>
      <c r="E5" s="152">
        <v>5</v>
      </c>
      <c r="F5" s="152">
        <v>6</v>
      </c>
      <c r="G5" s="152">
        <v>7</v>
      </c>
      <c r="H5" s="159">
        <v>8</v>
      </c>
      <c r="I5" s="159">
        <v>9</v>
      </c>
      <c r="J5" s="159">
        <v>14</v>
      </c>
      <c r="K5" s="159">
        <v>15</v>
      </c>
      <c r="L5" s="159">
        <v>16</v>
      </c>
      <c r="M5" s="159">
        <v>18</v>
      </c>
      <c r="N5" s="159">
        <v>19</v>
      </c>
      <c r="O5" s="152">
        <v>20</v>
      </c>
      <c r="P5" s="152"/>
      <c r="Q5" s="152">
        <v>21</v>
      </c>
    </row>
    <row r="6" s="140" customFormat="1" ht="23" customHeight="1" spans="1:17">
      <c r="A6" s="160">
        <v>1</v>
      </c>
      <c r="B6" s="161" t="s">
        <v>21</v>
      </c>
      <c r="C6" s="162" t="s">
        <v>22</v>
      </c>
      <c r="D6" s="161" t="s">
        <v>23</v>
      </c>
      <c r="E6" s="162" t="s">
        <v>24</v>
      </c>
      <c r="F6" s="162" t="s">
        <v>25</v>
      </c>
      <c r="G6" s="161" t="s">
        <v>26</v>
      </c>
      <c r="H6" s="161">
        <v>7186</v>
      </c>
      <c r="I6" s="166">
        <v>8332</v>
      </c>
      <c r="J6" s="194">
        <f t="shared" ref="J6:J23" si="0">ROUNDDOWN(H6*8%,2)</f>
        <v>574.88</v>
      </c>
      <c r="K6" s="194">
        <f t="shared" ref="K6:K23" si="1">ROUNDDOWN(I6*2%,2)</f>
        <v>166.64</v>
      </c>
      <c r="L6" s="194">
        <f>ROUNDDOWN(H6*0.5%,2)</f>
        <v>35.93</v>
      </c>
      <c r="M6" s="195">
        <v>0.25</v>
      </c>
      <c r="N6" s="194">
        <f t="shared" ref="N6:N23" si="2">ROUNDDOWN((J6+K6+L6)*M6,2)</f>
        <v>194.36</v>
      </c>
      <c r="O6" s="196">
        <v>45901</v>
      </c>
      <c r="P6" s="196">
        <v>45901</v>
      </c>
      <c r="Q6" s="161">
        <f t="shared" ref="Q6:Q24" si="3">DATEDIF(O6,P6,"M")+1</f>
        <v>1</v>
      </c>
    </row>
    <row r="7" s="140" customFormat="1" ht="23" customHeight="1" spans="1:17">
      <c r="A7" s="160">
        <v>2</v>
      </c>
      <c r="B7" s="161"/>
      <c r="C7" s="162" t="s">
        <v>27</v>
      </c>
      <c r="D7" s="161" t="s">
        <v>23</v>
      </c>
      <c r="E7" s="162" t="s">
        <v>28</v>
      </c>
      <c r="F7" s="162" t="s">
        <v>29</v>
      </c>
      <c r="G7" s="161" t="s">
        <v>26</v>
      </c>
      <c r="H7" s="161">
        <v>7998</v>
      </c>
      <c r="I7" s="166">
        <v>8332</v>
      </c>
      <c r="J7" s="194">
        <f>ROUNDDOWN(H7*8%,2)</f>
        <v>639.84</v>
      </c>
      <c r="K7" s="194">
        <f>ROUNDDOWN(I7*2%,2)</f>
        <v>166.64</v>
      </c>
      <c r="L7" s="194">
        <f t="shared" ref="L7:L23" si="4">ROUND(H7*0.5%,2)</f>
        <v>39.99</v>
      </c>
      <c r="M7" s="195">
        <v>0.25</v>
      </c>
      <c r="N7" s="194">
        <f>ROUNDDOWN((J7+K7+L7)*M7,2)</f>
        <v>211.61</v>
      </c>
      <c r="O7" s="196">
        <v>45901</v>
      </c>
      <c r="P7" s="196">
        <v>45901</v>
      </c>
      <c r="Q7" s="161">
        <f>DATEDIF(O7,P7,"M")+1</f>
        <v>1</v>
      </c>
    </row>
    <row r="8" s="140" customFormat="1" ht="23" customHeight="1" spans="1:17">
      <c r="A8" s="160">
        <v>3</v>
      </c>
      <c r="B8" s="161"/>
      <c r="C8" s="162" t="s">
        <v>30</v>
      </c>
      <c r="D8" s="161" t="s">
        <v>23</v>
      </c>
      <c r="E8" s="162" t="s">
        <v>31</v>
      </c>
      <c r="F8" s="162" t="s">
        <v>32</v>
      </c>
      <c r="G8" s="161" t="s">
        <v>26</v>
      </c>
      <c r="H8" s="161">
        <v>7923</v>
      </c>
      <c r="I8" s="166">
        <v>8332</v>
      </c>
      <c r="J8" s="194">
        <f>ROUNDDOWN(H8*8%,2)</f>
        <v>633.84</v>
      </c>
      <c r="K8" s="194">
        <f>ROUNDDOWN(I8*2%,2)</f>
        <v>166.64</v>
      </c>
      <c r="L8" s="194">
        <f>ROUND(H8*0.5%,2)</f>
        <v>39.62</v>
      </c>
      <c r="M8" s="195">
        <v>0.25</v>
      </c>
      <c r="N8" s="194">
        <f>ROUNDDOWN((J8+K8+L8)*M8,2)</f>
        <v>210.02</v>
      </c>
      <c r="O8" s="196">
        <v>45901</v>
      </c>
      <c r="P8" s="196">
        <v>45901</v>
      </c>
      <c r="Q8" s="161">
        <f>DATEDIF(O8,P8,"M")+1</f>
        <v>1</v>
      </c>
    </row>
    <row r="9" s="140" customFormat="1" ht="23" customHeight="1" spans="1:17">
      <c r="A9" s="160">
        <v>4</v>
      </c>
      <c r="B9" s="161"/>
      <c r="C9" s="162" t="s">
        <v>33</v>
      </c>
      <c r="D9" s="161" t="s">
        <v>23</v>
      </c>
      <c r="E9" s="162" t="s">
        <v>34</v>
      </c>
      <c r="F9" s="162" t="s">
        <v>35</v>
      </c>
      <c r="G9" s="161" t="s">
        <v>26</v>
      </c>
      <c r="H9" s="161">
        <v>7644</v>
      </c>
      <c r="I9" s="166">
        <v>8332</v>
      </c>
      <c r="J9" s="194">
        <f>ROUNDDOWN(H9*8%,2)</f>
        <v>611.52</v>
      </c>
      <c r="K9" s="194">
        <f>ROUNDDOWN(I9*2%,2)</f>
        <v>166.64</v>
      </c>
      <c r="L9" s="194">
        <f>ROUND(H9*0.5%,2)</f>
        <v>38.22</v>
      </c>
      <c r="M9" s="195">
        <v>0.25</v>
      </c>
      <c r="N9" s="194">
        <f>ROUNDDOWN((J9+K9+L9)*M9,2)</f>
        <v>204.09</v>
      </c>
      <c r="O9" s="196">
        <v>45901</v>
      </c>
      <c r="P9" s="196">
        <v>45901</v>
      </c>
      <c r="Q9" s="161">
        <f>DATEDIF(O9,P9,"M")+1</f>
        <v>1</v>
      </c>
    </row>
    <row r="10" s="140" customFormat="1" ht="23" customHeight="1" spans="1:17">
      <c r="A10" s="160">
        <v>5</v>
      </c>
      <c r="B10" s="161"/>
      <c r="C10" s="162" t="s">
        <v>36</v>
      </c>
      <c r="D10" s="161" t="s">
        <v>23</v>
      </c>
      <c r="E10" s="162" t="s">
        <v>37</v>
      </c>
      <c r="F10" s="162" t="s">
        <v>38</v>
      </c>
      <c r="G10" s="161" t="s">
        <v>26</v>
      </c>
      <c r="H10" s="161">
        <v>6290</v>
      </c>
      <c r="I10" s="166">
        <v>8332</v>
      </c>
      <c r="J10" s="194">
        <f>ROUNDDOWN(H10*8%,2)</f>
        <v>503.2</v>
      </c>
      <c r="K10" s="194">
        <f>ROUNDDOWN(I10*2%,2)</f>
        <v>166.64</v>
      </c>
      <c r="L10" s="194">
        <f>ROUND(H10*0.5%,2)</f>
        <v>31.45</v>
      </c>
      <c r="M10" s="195">
        <v>0.25</v>
      </c>
      <c r="N10" s="194">
        <f>ROUNDDOWN((J10+K10+L10)*M10,2)</f>
        <v>175.32</v>
      </c>
      <c r="O10" s="196">
        <v>45901</v>
      </c>
      <c r="P10" s="196">
        <v>45901</v>
      </c>
      <c r="Q10" s="161">
        <f>DATEDIF(O10,P10,"M")+1</f>
        <v>1</v>
      </c>
    </row>
    <row r="11" s="140" customFormat="1" ht="23" customHeight="1" spans="1:17">
      <c r="A11" s="160">
        <v>6</v>
      </c>
      <c r="B11" s="161"/>
      <c r="C11" s="161" t="s">
        <v>39</v>
      </c>
      <c r="D11" s="161" t="s">
        <v>40</v>
      </c>
      <c r="E11" s="162" t="s">
        <v>41</v>
      </c>
      <c r="F11" s="162" t="s">
        <v>42</v>
      </c>
      <c r="G11" s="161" t="s">
        <v>26</v>
      </c>
      <c r="H11" s="161">
        <v>6437</v>
      </c>
      <c r="I11" s="166">
        <v>8332</v>
      </c>
      <c r="J11" s="194">
        <f>ROUNDDOWN(H11*8%,2)</f>
        <v>514.96</v>
      </c>
      <c r="K11" s="194">
        <f>ROUNDDOWN(I11*2%,2)</f>
        <v>166.64</v>
      </c>
      <c r="L11" s="194">
        <f>ROUND(H11*0.5%,2)</f>
        <v>32.19</v>
      </c>
      <c r="M11" s="195">
        <v>0.25</v>
      </c>
      <c r="N11" s="194">
        <f>ROUNDDOWN((J11+K11+L11)*M11,2)</f>
        <v>178.44</v>
      </c>
      <c r="O11" s="196">
        <v>45901</v>
      </c>
      <c r="P11" s="196">
        <v>45901</v>
      </c>
      <c r="Q11" s="161">
        <f>DATEDIF(O11,P11,"M")+1</f>
        <v>1</v>
      </c>
    </row>
    <row r="12" s="140" customFormat="1" ht="23" customHeight="1" spans="1:17">
      <c r="A12" s="160">
        <v>7</v>
      </c>
      <c r="B12" s="161"/>
      <c r="C12" s="161" t="s">
        <v>43</v>
      </c>
      <c r="D12" s="161" t="s">
        <v>40</v>
      </c>
      <c r="E12" s="161" t="s">
        <v>44</v>
      </c>
      <c r="F12" s="162" t="s">
        <v>45</v>
      </c>
      <c r="G12" s="161" t="s">
        <v>26</v>
      </c>
      <c r="H12" s="161">
        <v>5121</v>
      </c>
      <c r="I12" s="166">
        <v>8332</v>
      </c>
      <c r="J12" s="194">
        <f>ROUNDDOWN(H12*8%,2)</f>
        <v>409.68</v>
      </c>
      <c r="K12" s="194">
        <f>ROUNDDOWN(I12*2%,2)</f>
        <v>166.64</v>
      </c>
      <c r="L12" s="194">
        <f>ROUND(H12*0.5%,2)</f>
        <v>25.61</v>
      </c>
      <c r="M12" s="195">
        <v>0.25</v>
      </c>
      <c r="N12" s="194">
        <f>ROUNDDOWN((J12+K12+L12)*M12,2)</f>
        <v>150.48</v>
      </c>
      <c r="O12" s="196">
        <v>45901</v>
      </c>
      <c r="P12" s="196">
        <v>45901</v>
      </c>
      <c r="Q12" s="161">
        <f>DATEDIF(O12,P12,"M")+1</f>
        <v>1</v>
      </c>
    </row>
    <row r="13" s="140" customFormat="1" ht="23" customHeight="1" spans="1:17">
      <c r="A13" s="160">
        <v>8</v>
      </c>
      <c r="B13" s="161"/>
      <c r="C13" s="161" t="s">
        <v>46</v>
      </c>
      <c r="D13" s="161" t="s">
        <v>40</v>
      </c>
      <c r="E13" s="161" t="s">
        <v>47</v>
      </c>
      <c r="F13" s="162" t="s">
        <v>48</v>
      </c>
      <c r="G13" s="161" t="s">
        <v>26</v>
      </c>
      <c r="H13" s="161">
        <v>5724</v>
      </c>
      <c r="I13" s="166">
        <v>8332</v>
      </c>
      <c r="J13" s="194">
        <f>ROUNDDOWN(H13*8%,2)</f>
        <v>457.92</v>
      </c>
      <c r="K13" s="194">
        <f>ROUNDDOWN(I13*2%,2)</f>
        <v>166.64</v>
      </c>
      <c r="L13" s="194">
        <f>ROUND(H13*0.5%,2)</f>
        <v>28.62</v>
      </c>
      <c r="M13" s="195">
        <v>0.25</v>
      </c>
      <c r="N13" s="194">
        <f>ROUNDDOWN((J13+K13+L13)*M13,2)</f>
        <v>163.29</v>
      </c>
      <c r="O13" s="196">
        <v>45901</v>
      </c>
      <c r="P13" s="196">
        <v>45901</v>
      </c>
      <c r="Q13" s="161">
        <f>DATEDIF(O13,P13,"M")+1</f>
        <v>1</v>
      </c>
    </row>
    <row r="14" s="140" customFormat="1" ht="23" customHeight="1" spans="1:17">
      <c r="A14" s="160">
        <v>9</v>
      </c>
      <c r="B14" s="161"/>
      <c r="C14" s="161" t="s">
        <v>49</v>
      </c>
      <c r="D14" s="161" t="s">
        <v>23</v>
      </c>
      <c r="E14" s="161" t="s">
        <v>50</v>
      </c>
      <c r="F14" s="162" t="s">
        <v>51</v>
      </c>
      <c r="G14" s="161" t="s">
        <v>26</v>
      </c>
      <c r="H14" s="161">
        <v>4999</v>
      </c>
      <c r="I14" s="166">
        <v>8332</v>
      </c>
      <c r="J14" s="194">
        <f>ROUNDDOWN(H14*8%,2)</f>
        <v>399.92</v>
      </c>
      <c r="K14" s="194">
        <f>ROUNDDOWN(I14*2%,2)</f>
        <v>166.64</v>
      </c>
      <c r="L14" s="166">
        <f>ROUND(H14*0.5%,2)</f>
        <v>25</v>
      </c>
      <c r="M14" s="195">
        <v>0.25</v>
      </c>
      <c r="N14" s="194">
        <f>ROUNDDOWN((J14+K14+L14)*M14,2)</f>
        <v>147.89</v>
      </c>
      <c r="O14" s="196">
        <v>45901</v>
      </c>
      <c r="P14" s="196">
        <v>45901</v>
      </c>
      <c r="Q14" s="161">
        <f>DATEDIF(O14,P14,"M")+1</f>
        <v>1</v>
      </c>
    </row>
    <row r="15" s="140" customFormat="1" ht="23" customHeight="1" spans="1:17">
      <c r="A15" s="160">
        <v>10</v>
      </c>
      <c r="B15" s="161"/>
      <c r="C15" s="161" t="s">
        <v>52</v>
      </c>
      <c r="D15" s="161" t="s">
        <v>23</v>
      </c>
      <c r="E15" s="162" t="s">
        <v>53</v>
      </c>
      <c r="F15" s="162" t="s">
        <v>54</v>
      </c>
      <c r="G15" s="161" t="s">
        <v>26</v>
      </c>
      <c r="H15" s="161">
        <v>5620</v>
      </c>
      <c r="I15" s="166">
        <v>8332</v>
      </c>
      <c r="J15" s="194">
        <f>ROUNDDOWN(H15*8%,2)</f>
        <v>449.6</v>
      </c>
      <c r="K15" s="194">
        <f>ROUNDDOWN(I15*2%,2)</f>
        <v>166.64</v>
      </c>
      <c r="L15" s="194">
        <f>ROUND(H15*0.5%,2)</f>
        <v>28.1</v>
      </c>
      <c r="M15" s="195">
        <v>0.25</v>
      </c>
      <c r="N15" s="194">
        <f>ROUNDDOWN((J15+K15+L15)*M15,2)</f>
        <v>161.08</v>
      </c>
      <c r="O15" s="196">
        <v>45901</v>
      </c>
      <c r="P15" s="196">
        <v>45901</v>
      </c>
      <c r="Q15" s="161">
        <f>DATEDIF(O15,P15,"M")+1</f>
        <v>1</v>
      </c>
    </row>
    <row r="16" s="140" customFormat="1" ht="23" customHeight="1" spans="1:17">
      <c r="A16" s="160">
        <v>11</v>
      </c>
      <c r="B16" s="161"/>
      <c r="C16" s="162" t="s">
        <v>55</v>
      </c>
      <c r="D16" s="161" t="s">
        <v>23</v>
      </c>
      <c r="E16" s="162" t="s">
        <v>56</v>
      </c>
      <c r="F16" s="162" t="s">
        <v>57</v>
      </c>
      <c r="G16" s="161" t="s">
        <v>26</v>
      </c>
      <c r="H16" s="161">
        <v>7505</v>
      </c>
      <c r="I16" s="166">
        <v>8332</v>
      </c>
      <c r="J16" s="194">
        <f>ROUNDDOWN(H16*8%,2)</f>
        <v>600.4</v>
      </c>
      <c r="K16" s="194">
        <f>ROUNDDOWN(I16*2%,2)</f>
        <v>166.64</v>
      </c>
      <c r="L16" s="194">
        <f>ROUND(H16*0.5%,2)</f>
        <v>37.53</v>
      </c>
      <c r="M16" s="195">
        <v>0.25</v>
      </c>
      <c r="N16" s="194">
        <f>ROUNDDOWN((J16+K16+L16)*M16,2)</f>
        <v>201.14</v>
      </c>
      <c r="O16" s="196">
        <v>45901</v>
      </c>
      <c r="P16" s="196">
        <v>45901</v>
      </c>
      <c r="Q16" s="161">
        <f>DATEDIF(O16,P16,"M")+1</f>
        <v>1</v>
      </c>
    </row>
    <row r="17" s="140" customFormat="1" ht="23" customHeight="1" spans="1:17">
      <c r="A17" s="160">
        <v>12</v>
      </c>
      <c r="B17" s="161"/>
      <c r="C17" s="162" t="s">
        <v>58</v>
      </c>
      <c r="D17" s="161" t="s">
        <v>23</v>
      </c>
      <c r="E17" s="162" t="s">
        <v>59</v>
      </c>
      <c r="F17" s="162" t="s">
        <v>60</v>
      </c>
      <c r="G17" s="161" t="s">
        <v>26</v>
      </c>
      <c r="H17" s="161">
        <v>4999</v>
      </c>
      <c r="I17" s="161">
        <v>8332</v>
      </c>
      <c r="J17" s="194">
        <f>ROUNDDOWN(H17*8%,2)</f>
        <v>399.92</v>
      </c>
      <c r="K17" s="194">
        <f>ROUNDDOWN(I17*2%,2)</f>
        <v>166.64</v>
      </c>
      <c r="L17" s="166">
        <f>ROUND(H17*0.5%,2)</f>
        <v>25</v>
      </c>
      <c r="M17" s="195">
        <v>0.25</v>
      </c>
      <c r="N17" s="194">
        <f>ROUNDDOWN((J17+K17+L17)*M17,2)</f>
        <v>147.89</v>
      </c>
      <c r="O17" s="196">
        <v>45901</v>
      </c>
      <c r="P17" s="196">
        <v>45901</v>
      </c>
      <c r="Q17" s="161">
        <f>DATEDIF(O17,P17,"M")+1</f>
        <v>1</v>
      </c>
    </row>
    <row r="18" s="140" customFormat="1" ht="23" customHeight="1" spans="1:17">
      <c r="A18" s="160">
        <v>13</v>
      </c>
      <c r="B18" s="161"/>
      <c r="C18" s="162" t="s">
        <v>61</v>
      </c>
      <c r="D18" s="161" t="s">
        <v>23</v>
      </c>
      <c r="E18" s="162" t="s">
        <v>62</v>
      </c>
      <c r="F18" s="162" t="s">
        <v>63</v>
      </c>
      <c r="G18" s="161" t="s">
        <v>26</v>
      </c>
      <c r="H18" s="161">
        <v>4999</v>
      </c>
      <c r="I18" s="161">
        <v>8332</v>
      </c>
      <c r="J18" s="194">
        <f>ROUNDDOWN(H18*8%,2)</f>
        <v>399.92</v>
      </c>
      <c r="K18" s="194">
        <f>ROUNDDOWN(I18*2%,2)</f>
        <v>166.64</v>
      </c>
      <c r="L18" s="166">
        <f>ROUND(H18*0.5%,2)</f>
        <v>25</v>
      </c>
      <c r="M18" s="195">
        <v>0.25</v>
      </c>
      <c r="N18" s="194">
        <f>ROUNDDOWN((J18+K18+L18)*M18,2)</f>
        <v>147.89</v>
      </c>
      <c r="O18" s="196">
        <v>45901</v>
      </c>
      <c r="P18" s="196">
        <v>45901</v>
      </c>
      <c r="Q18" s="161">
        <f>DATEDIF(O18,P18,"M")+1</f>
        <v>1</v>
      </c>
    </row>
    <row r="19" s="140" customFormat="1" ht="23" customHeight="1" spans="1:17">
      <c r="A19" s="160">
        <v>14</v>
      </c>
      <c r="B19" s="161"/>
      <c r="C19" s="161" t="s">
        <v>64</v>
      </c>
      <c r="D19" s="161" t="s">
        <v>40</v>
      </c>
      <c r="E19" s="161" t="s">
        <v>65</v>
      </c>
      <c r="F19" s="161" t="s">
        <v>66</v>
      </c>
      <c r="G19" s="161" t="s">
        <v>26</v>
      </c>
      <c r="H19" s="161">
        <v>4999</v>
      </c>
      <c r="I19" s="161">
        <v>8332</v>
      </c>
      <c r="J19" s="194">
        <f>ROUNDDOWN(H19*8%,2)</f>
        <v>399.92</v>
      </c>
      <c r="K19" s="194">
        <f>ROUNDDOWN(I19*2%,2)</f>
        <v>166.64</v>
      </c>
      <c r="L19" s="166">
        <f>ROUND(H19*0.5%,2)</f>
        <v>25</v>
      </c>
      <c r="M19" s="195">
        <v>0.25</v>
      </c>
      <c r="N19" s="194">
        <f>ROUNDDOWN((J19+K19+L19)*M19,2)</f>
        <v>147.89</v>
      </c>
      <c r="O19" s="196">
        <v>45901</v>
      </c>
      <c r="P19" s="196">
        <v>45901</v>
      </c>
      <c r="Q19" s="161">
        <f>DATEDIF(O19,P19,"M")+1</f>
        <v>1</v>
      </c>
    </row>
    <row r="20" s="140" customFormat="1" ht="23" customHeight="1" spans="1:17">
      <c r="A20" s="160">
        <v>15</v>
      </c>
      <c r="B20" s="161"/>
      <c r="C20" s="161" t="s">
        <v>67</v>
      </c>
      <c r="D20" s="161" t="s">
        <v>40</v>
      </c>
      <c r="E20" s="161" t="s">
        <v>68</v>
      </c>
      <c r="F20" s="161" t="s">
        <v>69</v>
      </c>
      <c r="G20" s="161" t="s">
        <v>26</v>
      </c>
      <c r="H20" s="161">
        <v>4999</v>
      </c>
      <c r="I20" s="161">
        <v>8332</v>
      </c>
      <c r="J20" s="194">
        <f>ROUNDDOWN(H20*8%,2)</f>
        <v>399.92</v>
      </c>
      <c r="K20" s="194">
        <f>ROUNDDOWN(I20*2%,2)</f>
        <v>166.64</v>
      </c>
      <c r="L20" s="166">
        <f>ROUND(H20*0.5%,2)</f>
        <v>25</v>
      </c>
      <c r="M20" s="195">
        <v>0.25</v>
      </c>
      <c r="N20" s="194">
        <f>ROUNDDOWN((J20+K20+L20)*M20,2)</f>
        <v>147.89</v>
      </c>
      <c r="O20" s="196">
        <v>45901</v>
      </c>
      <c r="P20" s="196">
        <v>45901</v>
      </c>
      <c r="Q20" s="161">
        <f>DATEDIF(O20,P20,"M")+1</f>
        <v>1</v>
      </c>
    </row>
    <row r="21" s="140" customFormat="1" ht="23" customHeight="1" spans="1:17">
      <c r="A21" s="160">
        <v>16</v>
      </c>
      <c r="B21" s="161"/>
      <c r="C21" s="161" t="s">
        <v>70</v>
      </c>
      <c r="D21" s="161" t="s">
        <v>40</v>
      </c>
      <c r="E21" s="161" t="s">
        <v>71</v>
      </c>
      <c r="F21" s="161" t="s">
        <v>72</v>
      </c>
      <c r="G21" s="161" t="s">
        <v>26</v>
      </c>
      <c r="H21" s="161">
        <v>4999</v>
      </c>
      <c r="I21" s="161">
        <v>8332</v>
      </c>
      <c r="J21" s="194">
        <f>ROUNDDOWN(H21*8%,2)</f>
        <v>399.92</v>
      </c>
      <c r="K21" s="194">
        <f>ROUNDDOWN(I21*2%,2)</f>
        <v>166.64</v>
      </c>
      <c r="L21" s="166">
        <f>ROUND(H21*0.5%,2)</f>
        <v>25</v>
      </c>
      <c r="M21" s="195">
        <v>0.25</v>
      </c>
      <c r="N21" s="194">
        <f>ROUNDDOWN((J21+K21+L21)*M21,2)</f>
        <v>147.89</v>
      </c>
      <c r="O21" s="196">
        <v>45901</v>
      </c>
      <c r="P21" s="196">
        <v>45901</v>
      </c>
      <c r="Q21" s="161">
        <f>DATEDIF(O21,P21,"M")+1</f>
        <v>1</v>
      </c>
    </row>
    <row r="22" s="140" customFormat="1" ht="23" customHeight="1" spans="1:17">
      <c r="A22" s="160">
        <v>17</v>
      </c>
      <c r="B22" s="161"/>
      <c r="C22" s="161" t="s">
        <v>73</v>
      </c>
      <c r="D22" s="161" t="s">
        <v>40</v>
      </c>
      <c r="E22" s="161" t="s">
        <v>74</v>
      </c>
      <c r="F22" s="161" t="s">
        <v>75</v>
      </c>
      <c r="G22" s="161" t="s">
        <v>26</v>
      </c>
      <c r="H22" s="161">
        <v>4999</v>
      </c>
      <c r="I22" s="161">
        <v>8332</v>
      </c>
      <c r="J22" s="194">
        <f>ROUNDDOWN(H22*8%,2)</f>
        <v>399.92</v>
      </c>
      <c r="K22" s="194">
        <f>ROUNDDOWN(I22*2%,2)</f>
        <v>166.64</v>
      </c>
      <c r="L22" s="166">
        <f>ROUND(H22*0.5%,2)</f>
        <v>25</v>
      </c>
      <c r="M22" s="195">
        <v>0.25</v>
      </c>
      <c r="N22" s="194">
        <f>ROUNDDOWN((J22+K22+L22)*M22,2)</f>
        <v>147.89</v>
      </c>
      <c r="O22" s="196">
        <v>45901</v>
      </c>
      <c r="P22" s="196">
        <v>45901</v>
      </c>
      <c r="Q22" s="161">
        <f>DATEDIF(O22,P22,"M")+1</f>
        <v>1</v>
      </c>
    </row>
    <row r="23" s="140" customFormat="1" ht="23" customHeight="1" spans="1:17">
      <c r="A23" s="160">
        <v>18</v>
      </c>
      <c r="B23" s="161"/>
      <c r="C23" s="161" t="s">
        <v>76</v>
      </c>
      <c r="D23" s="161" t="s">
        <v>40</v>
      </c>
      <c r="E23" s="161" t="s">
        <v>77</v>
      </c>
      <c r="F23" s="161" t="s">
        <v>78</v>
      </c>
      <c r="G23" s="161" t="s">
        <v>26</v>
      </c>
      <c r="H23" s="161">
        <v>4999</v>
      </c>
      <c r="I23" s="161">
        <v>8332</v>
      </c>
      <c r="J23" s="194">
        <f>ROUNDDOWN(H23*8%,2)</f>
        <v>399.92</v>
      </c>
      <c r="K23" s="194">
        <f>ROUNDDOWN(I23*2%,2)</f>
        <v>166.64</v>
      </c>
      <c r="L23" s="166">
        <f>ROUND(H23*0.5%,2)</f>
        <v>25</v>
      </c>
      <c r="M23" s="195">
        <v>0.25</v>
      </c>
      <c r="N23" s="194">
        <f>ROUNDDOWN((J23+K23+L23)*M23,2)</f>
        <v>147.89</v>
      </c>
      <c r="O23" s="196">
        <v>45901</v>
      </c>
      <c r="P23" s="196">
        <v>45901</v>
      </c>
      <c r="Q23" s="161">
        <f>DATEDIF(O23,P23,"M")+1</f>
        <v>1</v>
      </c>
    </row>
    <row r="24" s="140" customFormat="1" ht="39" customHeight="1" spans="1:17">
      <c r="A24" s="160">
        <v>19</v>
      </c>
      <c r="B24" s="163" t="s">
        <v>79</v>
      </c>
      <c r="C24" s="161" t="s">
        <v>80</v>
      </c>
      <c r="D24" s="161" t="s">
        <v>23</v>
      </c>
      <c r="E24" s="161" t="s">
        <v>81</v>
      </c>
      <c r="F24" s="161" t="s">
        <v>82</v>
      </c>
      <c r="G24" s="161" t="s">
        <v>26</v>
      </c>
      <c r="H24" s="161">
        <v>6064</v>
      </c>
      <c r="I24" s="161">
        <v>8332</v>
      </c>
      <c r="J24" s="161">
        <f t="shared" ref="J24:J27" si="5">H24*0.08</f>
        <v>485.12</v>
      </c>
      <c r="K24" s="161">
        <f t="shared" ref="K24:K27" si="6">I24*0.02</f>
        <v>166.64</v>
      </c>
      <c r="L24" s="161">
        <f>H24*0.005</f>
        <v>30.32</v>
      </c>
      <c r="M24" s="195">
        <v>0.25</v>
      </c>
      <c r="N24" s="194">
        <f t="shared" ref="N24:N37" si="7">(J24+K24+L24)*M24</f>
        <v>170.52</v>
      </c>
      <c r="O24" s="197">
        <v>45901</v>
      </c>
      <c r="P24" s="197">
        <v>45901</v>
      </c>
      <c r="Q24" s="161">
        <f>DATEDIF(O24,P24,"M")+1</f>
        <v>1</v>
      </c>
    </row>
    <row r="25" s="140" customFormat="1" ht="23" customHeight="1" spans="1:17">
      <c r="A25" s="160">
        <v>20</v>
      </c>
      <c r="B25" s="163" t="s">
        <v>83</v>
      </c>
      <c r="C25" s="161" t="s">
        <v>84</v>
      </c>
      <c r="D25" s="161" t="s">
        <v>40</v>
      </c>
      <c r="E25" s="161" t="s">
        <v>85</v>
      </c>
      <c r="F25" s="161" t="s">
        <v>86</v>
      </c>
      <c r="G25" s="161" t="s">
        <v>26</v>
      </c>
      <c r="H25" s="161">
        <v>4999</v>
      </c>
      <c r="I25" s="161">
        <v>8332</v>
      </c>
      <c r="J25" s="161">
        <f>H25*0.08</f>
        <v>399.92</v>
      </c>
      <c r="K25" s="161">
        <f>I25*0.02</f>
        <v>166.64</v>
      </c>
      <c r="L25" s="161">
        <v>25</v>
      </c>
      <c r="M25" s="195">
        <v>0.25</v>
      </c>
      <c r="N25" s="194">
        <f>(J25+K25+L25)*M25</f>
        <v>147.89</v>
      </c>
      <c r="O25" s="197">
        <v>45901</v>
      </c>
      <c r="P25" s="197">
        <v>45901</v>
      </c>
      <c r="Q25" s="161">
        <f t="shared" ref="Q25:Q56" si="8">DATEDIF(O25,P25,"M")+1</f>
        <v>1</v>
      </c>
    </row>
    <row r="26" s="140" customFormat="1" ht="23" customHeight="1" spans="1:17">
      <c r="A26" s="160">
        <v>21</v>
      </c>
      <c r="B26" s="164"/>
      <c r="C26" s="161" t="s">
        <v>87</v>
      </c>
      <c r="D26" s="161" t="s">
        <v>40</v>
      </c>
      <c r="E26" s="161" t="s">
        <v>88</v>
      </c>
      <c r="F26" s="161" t="s">
        <v>89</v>
      </c>
      <c r="G26" s="161" t="s">
        <v>26</v>
      </c>
      <c r="H26" s="161">
        <v>4999</v>
      </c>
      <c r="I26" s="161">
        <v>8332</v>
      </c>
      <c r="J26" s="161">
        <f>H26*0.08</f>
        <v>399.92</v>
      </c>
      <c r="K26" s="161">
        <f>I26*0.02</f>
        <v>166.64</v>
      </c>
      <c r="L26" s="161">
        <v>25</v>
      </c>
      <c r="M26" s="195">
        <v>0.25</v>
      </c>
      <c r="N26" s="194">
        <f>(J26+K26+L26)*M26</f>
        <v>147.89</v>
      </c>
      <c r="O26" s="197">
        <v>45901</v>
      </c>
      <c r="P26" s="197">
        <v>45901</v>
      </c>
      <c r="Q26" s="161">
        <f>DATEDIF(O26,P26,"M")+1</f>
        <v>1</v>
      </c>
    </row>
    <row r="27" s="140" customFormat="1" ht="23" customHeight="1" spans="1:17">
      <c r="A27" s="160">
        <v>22</v>
      </c>
      <c r="B27" s="164"/>
      <c r="C27" s="161" t="s">
        <v>90</v>
      </c>
      <c r="D27" s="161" t="s">
        <v>40</v>
      </c>
      <c r="E27" s="161" t="s">
        <v>91</v>
      </c>
      <c r="F27" s="161" t="s">
        <v>92</v>
      </c>
      <c r="G27" s="161" t="s">
        <v>26</v>
      </c>
      <c r="H27" s="161">
        <v>4999</v>
      </c>
      <c r="I27" s="161">
        <v>8332</v>
      </c>
      <c r="J27" s="161">
        <f>H27*0.08</f>
        <v>399.92</v>
      </c>
      <c r="K27" s="161">
        <f>I27*0.02</f>
        <v>166.64</v>
      </c>
      <c r="L27" s="161">
        <v>25</v>
      </c>
      <c r="M27" s="195">
        <v>0.25</v>
      </c>
      <c r="N27" s="194">
        <f>(J27+K27+L27)*M27</f>
        <v>147.89</v>
      </c>
      <c r="O27" s="197">
        <v>45901</v>
      </c>
      <c r="P27" s="197">
        <v>45901</v>
      </c>
      <c r="Q27" s="161">
        <f>DATEDIF(O27,P27,"M")+1</f>
        <v>1</v>
      </c>
    </row>
    <row r="28" s="140" customFormat="1" ht="23" customHeight="1" spans="1:17">
      <c r="A28" s="160">
        <v>23</v>
      </c>
      <c r="B28" s="163" t="s">
        <v>93</v>
      </c>
      <c r="C28" s="165" t="s">
        <v>94</v>
      </c>
      <c r="D28" s="161" t="s">
        <v>23</v>
      </c>
      <c r="E28" s="161" t="s">
        <v>95</v>
      </c>
      <c r="F28" s="161" t="s">
        <v>96</v>
      </c>
      <c r="G28" s="161" t="s">
        <v>26</v>
      </c>
      <c r="H28" s="166">
        <v>4999</v>
      </c>
      <c r="I28" s="166">
        <v>8332</v>
      </c>
      <c r="J28" s="198">
        <f t="shared" ref="J28:J37" si="9">ROUND(H28*8%,2)</f>
        <v>399.92</v>
      </c>
      <c r="K28" s="198">
        <f t="shared" ref="K28:K37" si="10">ROUND(I28*2%,2)</f>
        <v>166.64</v>
      </c>
      <c r="L28" s="170">
        <f t="shared" ref="L28:L37" si="11">ROUND(H28*0.5%,2)</f>
        <v>25</v>
      </c>
      <c r="M28" s="195">
        <v>0.25</v>
      </c>
      <c r="N28" s="194">
        <f>(J28+K28+L28)*M28</f>
        <v>147.89</v>
      </c>
      <c r="O28" s="197">
        <v>45901</v>
      </c>
      <c r="P28" s="197">
        <v>45901</v>
      </c>
      <c r="Q28" s="161">
        <f>DATEDIF(O28,P28,"M")+1</f>
        <v>1</v>
      </c>
    </row>
    <row r="29" s="140" customFormat="1" ht="23" customHeight="1" spans="1:17">
      <c r="A29" s="160">
        <v>24</v>
      </c>
      <c r="B29" s="164"/>
      <c r="C29" s="165" t="s">
        <v>97</v>
      </c>
      <c r="D29" s="161" t="s">
        <v>40</v>
      </c>
      <c r="E29" s="161" t="s">
        <v>98</v>
      </c>
      <c r="F29" s="161" t="s">
        <v>99</v>
      </c>
      <c r="G29" s="161" t="s">
        <v>26</v>
      </c>
      <c r="H29" s="166">
        <v>4999</v>
      </c>
      <c r="I29" s="166">
        <v>8332</v>
      </c>
      <c r="J29" s="198">
        <f>ROUND(H29*8%,2)</f>
        <v>399.92</v>
      </c>
      <c r="K29" s="198">
        <f>ROUND(I29*2%,2)</f>
        <v>166.64</v>
      </c>
      <c r="L29" s="170">
        <f>ROUND(H29*0.5%,2)</f>
        <v>25</v>
      </c>
      <c r="M29" s="195">
        <v>0.25</v>
      </c>
      <c r="N29" s="194">
        <f>(J29+K29+L29)*M29</f>
        <v>147.89</v>
      </c>
      <c r="O29" s="197">
        <v>45901</v>
      </c>
      <c r="P29" s="197">
        <v>45901</v>
      </c>
      <c r="Q29" s="161">
        <f>DATEDIF(O29,P29,"M")+1</f>
        <v>1</v>
      </c>
    </row>
    <row r="30" s="140" customFormat="1" ht="23" customHeight="1" spans="1:17">
      <c r="A30" s="160">
        <v>25</v>
      </c>
      <c r="B30" s="164"/>
      <c r="C30" s="165" t="s">
        <v>100</v>
      </c>
      <c r="D30" s="161" t="s">
        <v>40</v>
      </c>
      <c r="E30" s="161" t="s">
        <v>101</v>
      </c>
      <c r="F30" s="161" t="s">
        <v>102</v>
      </c>
      <c r="G30" s="161" t="s">
        <v>26</v>
      </c>
      <c r="H30" s="166">
        <v>4999</v>
      </c>
      <c r="I30" s="166">
        <v>8332</v>
      </c>
      <c r="J30" s="198">
        <f>ROUND(H30*8%,2)</f>
        <v>399.92</v>
      </c>
      <c r="K30" s="198">
        <f>ROUND(I30*2%,2)</f>
        <v>166.64</v>
      </c>
      <c r="L30" s="170">
        <f>ROUND(H30*0.5%,2)</f>
        <v>25</v>
      </c>
      <c r="M30" s="195">
        <v>0.25</v>
      </c>
      <c r="N30" s="194">
        <f>(J30+K30+L30)*M30</f>
        <v>147.89</v>
      </c>
      <c r="O30" s="197">
        <v>45901</v>
      </c>
      <c r="P30" s="197">
        <v>45901</v>
      </c>
      <c r="Q30" s="161">
        <f>DATEDIF(O30,P30,"M")+1</f>
        <v>1</v>
      </c>
    </row>
    <row r="31" s="140" customFormat="1" ht="23" customHeight="1" spans="1:17">
      <c r="A31" s="160">
        <v>26</v>
      </c>
      <c r="B31" s="164"/>
      <c r="C31" s="165" t="s">
        <v>103</v>
      </c>
      <c r="D31" s="161" t="s">
        <v>40</v>
      </c>
      <c r="E31" s="161" t="s">
        <v>104</v>
      </c>
      <c r="F31" s="161" t="s">
        <v>105</v>
      </c>
      <c r="G31" s="161" t="s">
        <v>26</v>
      </c>
      <c r="H31" s="166">
        <v>4999</v>
      </c>
      <c r="I31" s="166">
        <v>8332</v>
      </c>
      <c r="J31" s="198">
        <f>ROUND(H31*8%,2)</f>
        <v>399.92</v>
      </c>
      <c r="K31" s="198">
        <f>ROUND(I31*2%,2)</f>
        <v>166.64</v>
      </c>
      <c r="L31" s="170">
        <f>ROUND(H31*0.5%,2)</f>
        <v>25</v>
      </c>
      <c r="M31" s="195">
        <v>0.25</v>
      </c>
      <c r="N31" s="194">
        <f>(J31+K31+L31)*M31</f>
        <v>147.89</v>
      </c>
      <c r="O31" s="197">
        <v>45901</v>
      </c>
      <c r="P31" s="197">
        <v>45901</v>
      </c>
      <c r="Q31" s="161">
        <f>DATEDIF(O31,P31,"M")+1</f>
        <v>1</v>
      </c>
    </row>
    <row r="32" s="140" customFormat="1" ht="23" customHeight="1" spans="1:17">
      <c r="A32" s="160">
        <v>27</v>
      </c>
      <c r="B32" s="164"/>
      <c r="C32" s="165" t="s">
        <v>106</v>
      </c>
      <c r="D32" s="161" t="s">
        <v>23</v>
      </c>
      <c r="E32" s="161" t="s">
        <v>107</v>
      </c>
      <c r="F32" s="161" t="s">
        <v>108</v>
      </c>
      <c r="G32" s="161" t="s">
        <v>26</v>
      </c>
      <c r="H32" s="166">
        <v>4999</v>
      </c>
      <c r="I32" s="166">
        <v>8332</v>
      </c>
      <c r="J32" s="198">
        <f>ROUND(H32*8%,2)</f>
        <v>399.92</v>
      </c>
      <c r="K32" s="198">
        <f>ROUND(I32*2%,2)</f>
        <v>166.64</v>
      </c>
      <c r="L32" s="170">
        <f>ROUND(H32*0.5%,2)</f>
        <v>25</v>
      </c>
      <c r="M32" s="195">
        <v>0.25</v>
      </c>
      <c r="N32" s="194">
        <f>(J32+K32+L32)*M32</f>
        <v>147.89</v>
      </c>
      <c r="O32" s="197">
        <v>45901</v>
      </c>
      <c r="P32" s="197">
        <v>45901</v>
      </c>
      <c r="Q32" s="161">
        <f>DATEDIF(O32,P32,"M")+1</f>
        <v>1</v>
      </c>
    </row>
    <row r="33" s="140" customFormat="1" ht="30" customHeight="1" spans="1:17">
      <c r="A33" s="160">
        <v>28</v>
      </c>
      <c r="B33" s="164"/>
      <c r="C33" s="165" t="s">
        <v>109</v>
      </c>
      <c r="D33" s="161" t="s">
        <v>23</v>
      </c>
      <c r="E33" s="161" t="s">
        <v>110</v>
      </c>
      <c r="F33" s="161" t="s">
        <v>111</v>
      </c>
      <c r="G33" s="161" t="s">
        <v>26</v>
      </c>
      <c r="H33" s="166">
        <v>4999</v>
      </c>
      <c r="I33" s="166">
        <v>8332</v>
      </c>
      <c r="J33" s="198">
        <f>ROUND(H33*8%,2)</f>
        <v>399.92</v>
      </c>
      <c r="K33" s="198">
        <f>ROUND(I33*2%,2)</f>
        <v>166.64</v>
      </c>
      <c r="L33" s="170">
        <f>ROUND(H33*0.5%,2)</f>
        <v>25</v>
      </c>
      <c r="M33" s="195">
        <v>0.25</v>
      </c>
      <c r="N33" s="194">
        <f>(J33+K33+L33)*M33</f>
        <v>147.89</v>
      </c>
      <c r="O33" s="197">
        <v>45901</v>
      </c>
      <c r="P33" s="197">
        <v>45901</v>
      </c>
      <c r="Q33" s="161">
        <f>DATEDIF(O33,P33,"M")+1</f>
        <v>1</v>
      </c>
    </row>
    <row r="34" s="140" customFormat="1" ht="23" customHeight="1" spans="1:17">
      <c r="A34" s="160">
        <v>29</v>
      </c>
      <c r="B34" s="164"/>
      <c r="C34" s="165" t="s">
        <v>112</v>
      </c>
      <c r="D34" s="161" t="s">
        <v>23</v>
      </c>
      <c r="E34" s="161" t="s">
        <v>113</v>
      </c>
      <c r="F34" s="161" t="s">
        <v>114</v>
      </c>
      <c r="G34" s="161" t="s">
        <v>26</v>
      </c>
      <c r="H34" s="166">
        <v>4999</v>
      </c>
      <c r="I34" s="166">
        <v>8332</v>
      </c>
      <c r="J34" s="198">
        <f>ROUND(H34*8%,2)</f>
        <v>399.92</v>
      </c>
      <c r="K34" s="198">
        <f>ROUND(I34*2%,2)</f>
        <v>166.64</v>
      </c>
      <c r="L34" s="170">
        <f>ROUND(H34*0.5%,2)</f>
        <v>25</v>
      </c>
      <c r="M34" s="195">
        <v>0.25</v>
      </c>
      <c r="N34" s="194">
        <f>(J34+K34+L34)*M34</f>
        <v>147.89</v>
      </c>
      <c r="O34" s="197">
        <v>45901</v>
      </c>
      <c r="P34" s="197">
        <v>45901</v>
      </c>
      <c r="Q34" s="161">
        <f>DATEDIF(O34,P34,"M")+1</f>
        <v>1</v>
      </c>
    </row>
    <row r="35" s="140" customFormat="1" ht="23" customHeight="1" spans="1:17">
      <c r="A35" s="160">
        <v>30</v>
      </c>
      <c r="B35" s="167"/>
      <c r="C35" s="165" t="s">
        <v>115</v>
      </c>
      <c r="D35" s="161" t="s">
        <v>23</v>
      </c>
      <c r="E35" s="161" t="s">
        <v>116</v>
      </c>
      <c r="F35" s="161" t="s">
        <v>117</v>
      </c>
      <c r="G35" s="161" t="s">
        <v>26</v>
      </c>
      <c r="H35" s="166">
        <v>4999</v>
      </c>
      <c r="I35" s="166">
        <v>8332</v>
      </c>
      <c r="J35" s="198">
        <f>ROUND(H35*8%,2)</f>
        <v>399.92</v>
      </c>
      <c r="K35" s="198">
        <f>ROUND(I35*2%,2)</f>
        <v>166.64</v>
      </c>
      <c r="L35" s="170">
        <f>ROUND(H35*0.5%,2)</f>
        <v>25</v>
      </c>
      <c r="M35" s="195">
        <v>0.25</v>
      </c>
      <c r="N35" s="194">
        <f>(J35+K35+L35)*M35</f>
        <v>147.89</v>
      </c>
      <c r="O35" s="197">
        <v>45901</v>
      </c>
      <c r="P35" s="197">
        <v>45901</v>
      </c>
      <c r="Q35" s="161">
        <f>DATEDIF(O35,P35,"M")+1</f>
        <v>1</v>
      </c>
    </row>
    <row r="36" s="140" customFormat="1" ht="23" customHeight="1" spans="1:17">
      <c r="A36" s="160">
        <v>31</v>
      </c>
      <c r="B36" s="161" t="s">
        <v>118</v>
      </c>
      <c r="C36" s="165" t="s">
        <v>119</v>
      </c>
      <c r="D36" s="161" t="s">
        <v>23</v>
      </c>
      <c r="E36" s="161" t="s">
        <v>120</v>
      </c>
      <c r="F36" s="161" t="s">
        <v>121</v>
      </c>
      <c r="G36" s="161" t="s">
        <v>26</v>
      </c>
      <c r="H36" s="166">
        <v>4999</v>
      </c>
      <c r="I36" s="166">
        <v>8332</v>
      </c>
      <c r="J36" s="198">
        <f>ROUND(H36*8%,2)</f>
        <v>399.92</v>
      </c>
      <c r="K36" s="198">
        <f>ROUND(I36*2%,2)</f>
        <v>166.64</v>
      </c>
      <c r="L36" s="170">
        <f>ROUND(H36*0.5%,2)</f>
        <v>25</v>
      </c>
      <c r="M36" s="195">
        <v>0.25</v>
      </c>
      <c r="N36" s="194">
        <f>(J36+K36+L36)*M36</f>
        <v>147.89</v>
      </c>
      <c r="O36" s="197">
        <v>45901</v>
      </c>
      <c r="P36" s="197">
        <v>45901</v>
      </c>
      <c r="Q36" s="161">
        <f>DATEDIF(O36,P36,"M")+1</f>
        <v>1</v>
      </c>
    </row>
    <row r="37" s="140" customFormat="1" ht="23" customHeight="1" spans="1:17">
      <c r="A37" s="160">
        <v>32</v>
      </c>
      <c r="B37" s="161"/>
      <c r="C37" s="165" t="s">
        <v>122</v>
      </c>
      <c r="D37" s="161" t="s">
        <v>23</v>
      </c>
      <c r="E37" s="168" t="s">
        <v>123</v>
      </c>
      <c r="F37" s="169" t="s">
        <v>124</v>
      </c>
      <c r="G37" s="161" t="s">
        <v>26</v>
      </c>
      <c r="H37" s="166">
        <v>4999</v>
      </c>
      <c r="I37" s="166">
        <v>8332</v>
      </c>
      <c r="J37" s="198">
        <f>ROUND(H37*8%,2)</f>
        <v>399.92</v>
      </c>
      <c r="K37" s="198">
        <f>ROUND(I37*2%,2)</f>
        <v>166.64</v>
      </c>
      <c r="L37" s="170">
        <f>ROUND(H37*0.5%,2)</f>
        <v>25</v>
      </c>
      <c r="M37" s="195">
        <v>0.25</v>
      </c>
      <c r="N37" s="194">
        <f>(J37+K37+L37)*M37</f>
        <v>147.89</v>
      </c>
      <c r="O37" s="197">
        <v>45901</v>
      </c>
      <c r="P37" s="197">
        <v>45901</v>
      </c>
      <c r="Q37" s="161">
        <f>DATEDIF(O37,P37,"M")+1</f>
        <v>1</v>
      </c>
    </row>
    <row r="38" s="140" customFormat="1" ht="23" customHeight="1" spans="1:17">
      <c r="A38" s="160">
        <v>33</v>
      </c>
      <c r="B38" s="161" t="s">
        <v>125</v>
      </c>
      <c r="C38" s="161" t="s">
        <v>126</v>
      </c>
      <c r="D38" s="161" t="s">
        <v>40</v>
      </c>
      <c r="E38" s="168" t="s">
        <v>127</v>
      </c>
      <c r="F38" s="168" t="s">
        <v>128</v>
      </c>
      <c r="G38" s="170" t="s">
        <v>26</v>
      </c>
      <c r="H38" s="166">
        <v>5069</v>
      </c>
      <c r="I38" s="166">
        <v>8332</v>
      </c>
      <c r="J38" s="194">
        <f t="shared" ref="J38:J40" si="12">ROUND(H38*0.08,2)</f>
        <v>405.52</v>
      </c>
      <c r="K38" s="194">
        <f t="shared" ref="K38:K40" si="13">ROUND(I38*0.02,2)</f>
        <v>166.64</v>
      </c>
      <c r="L38" s="194">
        <v>25.35</v>
      </c>
      <c r="M38" s="195">
        <v>0.25</v>
      </c>
      <c r="N38" s="194">
        <v>149.37</v>
      </c>
      <c r="O38" s="197">
        <v>45901</v>
      </c>
      <c r="P38" s="197">
        <v>45901</v>
      </c>
      <c r="Q38" s="161">
        <f>DATEDIF(O38,P38,"M")+1</f>
        <v>1</v>
      </c>
    </row>
    <row r="39" s="140" customFormat="1" ht="23" customHeight="1" spans="1:17">
      <c r="A39" s="160">
        <v>34</v>
      </c>
      <c r="B39" s="161"/>
      <c r="C39" s="161" t="s">
        <v>129</v>
      </c>
      <c r="D39" s="161" t="s">
        <v>23</v>
      </c>
      <c r="E39" s="168" t="s">
        <v>130</v>
      </c>
      <c r="F39" s="168" t="s">
        <v>131</v>
      </c>
      <c r="G39" s="170" t="s">
        <v>26</v>
      </c>
      <c r="H39" s="166">
        <v>5069</v>
      </c>
      <c r="I39" s="166">
        <v>8332</v>
      </c>
      <c r="J39" s="194">
        <f>ROUND(H39*0.08,2)</f>
        <v>405.52</v>
      </c>
      <c r="K39" s="194">
        <f>ROUND(I39*0.02,2)</f>
        <v>166.64</v>
      </c>
      <c r="L39" s="194">
        <v>25.35</v>
      </c>
      <c r="M39" s="195">
        <v>0.25</v>
      </c>
      <c r="N39" s="194">
        <v>149.37</v>
      </c>
      <c r="O39" s="197">
        <v>45901</v>
      </c>
      <c r="P39" s="197">
        <v>45901</v>
      </c>
      <c r="Q39" s="161">
        <f>DATEDIF(O39,P39,"M")+1</f>
        <v>1</v>
      </c>
    </row>
    <row r="40" s="140" customFormat="1" ht="23" customHeight="1" spans="1:17">
      <c r="A40" s="160">
        <v>35</v>
      </c>
      <c r="B40" s="161"/>
      <c r="C40" s="161" t="s">
        <v>132</v>
      </c>
      <c r="D40" s="161" t="s">
        <v>23</v>
      </c>
      <c r="E40" s="168" t="s">
        <v>133</v>
      </c>
      <c r="F40" s="168" t="s">
        <v>134</v>
      </c>
      <c r="G40" s="170" t="s">
        <v>26</v>
      </c>
      <c r="H40" s="166">
        <v>5069</v>
      </c>
      <c r="I40" s="166">
        <v>8332</v>
      </c>
      <c r="J40" s="194">
        <f>ROUND(H40*0.08,2)</f>
        <v>405.52</v>
      </c>
      <c r="K40" s="194">
        <f>ROUND(I40*0.02,2)</f>
        <v>166.64</v>
      </c>
      <c r="L40" s="194">
        <v>25.35</v>
      </c>
      <c r="M40" s="195">
        <v>0.25</v>
      </c>
      <c r="N40" s="194">
        <v>149.37</v>
      </c>
      <c r="O40" s="197">
        <v>45901</v>
      </c>
      <c r="P40" s="197">
        <v>45901</v>
      </c>
      <c r="Q40" s="161">
        <f>DATEDIF(O40,P40,"M")+1</f>
        <v>1</v>
      </c>
    </row>
    <row r="41" s="140" customFormat="1" ht="23" customHeight="1" spans="1:17">
      <c r="A41" s="160">
        <v>36</v>
      </c>
      <c r="B41" s="161" t="s">
        <v>135</v>
      </c>
      <c r="C41" s="165" t="s">
        <v>136</v>
      </c>
      <c r="D41" s="161" t="s">
        <v>23</v>
      </c>
      <c r="E41" s="161" t="s">
        <v>137</v>
      </c>
      <c r="F41" s="161" t="s">
        <v>138</v>
      </c>
      <c r="G41" s="161" t="s">
        <v>26</v>
      </c>
      <c r="H41" s="166">
        <v>4999</v>
      </c>
      <c r="I41" s="166">
        <v>8332</v>
      </c>
      <c r="J41" s="194">
        <v>399.92</v>
      </c>
      <c r="K41" s="194">
        <v>166.64</v>
      </c>
      <c r="L41" s="166">
        <v>25</v>
      </c>
      <c r="M41" s="195">
        <v>0.25</v>
      </c>
      <c r="N41" s="194">
        <f t="shared" ref="N41:N50" si="14">(J41+K41+L41)*M41</f>
        <v>147.89</v>
      </c>
      <c r="O41" s="197">
        <v>45901</v>
      </c>
      <c r="P41" s="197">
        <v>45901</v>
      </c>
      <c r="Q41" s="161">
        <f>DATEDIF(O41,P41,"M")+1</f>
        <v>1</v>
      </c>
    </row>
    <row r="42" s="140" customFormat="1" ht="23" customHeight="1" spans="1:17">
      <c r="A42" s="160">
        <v>37</v>
      </c>
      <c r="B42" s="161"/>
      <c r="C42" s="165" t="s">
        <v>139</v>
      </c>
      <c r="D42" s="161" t="s">
        <v>40</v>
      </c>
      <c r="E42" s="168" t="s">
        <v>140</v>
      </c>
      <c r="F42" s="171" t="s">
        <v>141</v>
      </c>
      <c r="G42" s="161" t="s">
        <v>26</v>
      </c>
      <c r="H42" s="166">
        <v>4999</v>
      </c>
      <c r="I42" s="166">
        <v>8332</v>
      </c>
      <c r="J42" s="194">
        <v>399.92</v>
      </c>
      <c r="K42" s="194">
        <v>166.64</v>
      </c>
      <c r="L42" s="166">
        <v>25</v>
      </c>
      <c r="M42" s="195">
        <v>0.25</v>
      </c>
      <c r="N42" s="194">
        <f>(J42+K42+L42)*M42</f>
        <v>147.89</v>
      </c>
      <c r="O42" s="197">
        <v>45901</v>
      </c>
      <c r="P42" s="197">
        <v>45901</v>
      </c>
      <c r="Q42" s="161">
        <f>DATEDIF(O42,P42,"M")+1</f>
        <v>1</v>
      </c>
    </row>
    <row r="43" s="140" customFormat="1" ht="23" customHeight="1" spans="1:17">
      <c r="A43" s="160">
        <v>38</v>
      </c>
      <c r="B43" s="161"/>
      <c r="C43" s="172" t="s">
        <v>142</v>
      </c>
      <c r="D43" s="161" t="s">
        <v>23</v>
      </c>
      <c r="E43" s="173" t="s">
        <v>143</v>
      </c>
      <c r="F43" s="173" t="s">
        <v>144</v>
      </c>
      <c r="G43" s="161" t="s">
        <v>26</v>
      </c>
      <c r="H43" s="166">
        <v>4999</v>
      </c>
      <c r="I43" s="166">
        <v>8332</v>
      </c>
      <c r="J43" s="194">
        <v>399.92</v>
      </c>
      <c r="K43" s="194">
        <v>166.64</v>
      </c>
      <c r="L43" s="166">
        <v>25</v>
      </c>
      <c r="M43" s="195">
        <v>0.25</v>
      </c>
      <c r="N43" s="194">
        <f>(J43+K43+L43)*M43</f>
        <v>147.89</v>
      </c>
      <c r="O43" s="197">
        <v>45901</v>
      </c>
      <c r="P43" s="197">
        <v>45901</v>
      </c>
      <c r="Q43" s="161">
        <f>DATEDIF(O43,P43,"M")+1</f>
        <v>1</v>
      </c>
    </row>
    <row r="44" s="140" customFormat="1" ht="26" customHeight="1" spans="1:17">
      <c r="A44" s="160">
        <v>39</v>
      </c>
      <c r="B44" s="161" t="s">
        <v>145</v>
      </c>
      <c r="C44" s="165" t="s">
        <v>146</v>
      </c>
      <c r="D44" s="161" t="s">
        <v>23</v>
      </c>
      <c r="E44" s="161" t="s">
        <v>147</v>
      </c>
      <c r="F44" s="161" t="s">
        <v>148</v>
      </c>
      <c r="G44" s="161" t="s">
        <v>26</v>
      </c>
      <c r="H44" s="166">
        <v>5013</v>
      </c>
      <c r="I44" s="166">
        <v>8332</v>
      </c>
      <c r="J44" s="194">
        <v>401.04</v>
      </c>
      <c r="K44" s="194">
        <v>166.64</v>
      </c>
      <c r="L44" s="194">
        <v>25.07</v>
      </c>
      <c r="M44" s="195">
        <v>0.25</v>
      </c>
      <c r="N44" s="194">
        <v>148.19</v>
      </c>
      <c r="O44" s="197">
        <v>45901</v>
      </c>
      <c r="P44" s="197">
        <v>45901</v>
      </c>
      <c r="Q44" s="161">
        <f>DATEDIF(O44,P44,"M")+1</f>
        <v>1</v>
      </c>
    </row>
    <row r="45" s="140" customFormat="1" ht="23" customHeight="1" spans="1:17">
      <c r="A45" s="160">
        <v>40</v>
      </c>
      <c r="B45" s="174" t="s">
        <v>149</v>
      </c>
      <c r="C45" s="175" t="s">
        <v>150</v>
      </c>
      <c r="D45" s="176" t="s">
        <v>23</v>
      </c>
      <c r="E45" s="176" t="s">
        <v>151</v>
      </c>
      <c r="F45" s="176" t="s">
        <v>152</v>
      </c>
      <c r="G45" s="168" t="s">
        <v>26</v>
      </c>
      <c r="H45" s="176">
        <v>4999</v>
      </c>
      <c r="I45" s="176">
        <v>8332</v>
      </c>
      <c r="J45" s="194">
        <v>399.92</v>
      </c>
      <c r="K45" s="194">
        <v>166.64</v>
      </c>
      <c r="L45" s="166">
        <v>25</v>
      </c>
      <c r="M45" s="195">
        <v>0.25</v>
      </c>
      <c r="N45" s="194">
        <f t="shared" ref="N45:N50" si="15">(J45+K45+L45)*M45</f>
        <v>147.89</v>
      </c>
      <c r="O45" s="197">
        <v>45901</v>
      </c>
      <c r="P45" s="197">
        <v>45901</v>
      </c>
      <c r="Q45" s="161">
        <f>DATEDIF(O45,P45,"M")+1</f>
        <v>1</v>
      </c>
    </row>
    <row r="46" s="140" customFormat="1" ht="23" customHeight="1" spans="1:17">
      <c r="A46" s="160">
        <v>41</v>
      </c>
      <c r="B46" s="177"/>
      <c r="C46" s="175" t="s">
        <v>153</v>
      </c>
      <c r="D46" s="176" t="s">
        <v>23</v>
      </c>
      <c r="E46" s="176" t="s">
        <v>154</v>
      </c>
      <c r="F46" s="176" t="s">
        <v>155</v>
      </c>
      <c r="G46" s="168" t="s">
        <v>26</v>
      </c>
      <c r="H46" s="176">
        <v>4999</v>
      </c>
      <c r="I46" s="176">
        <v>8332</v>
      </c>
      <c r="J46" s="194">
        <v>399.92</v>
      </c>
      <c r="K46" s="194">
        <v>166.64</v>
      </c>
      <c r="L46" s="166">
        <v>25</v>
      </c>
      <c r="M46" s="195">
        <v>0.25</v>
      </c>
      <c r="N46" s="194">
        <f>(J46+K46+L46)*M46</f>
        <v>147.89</v>
      </c>
      <c r="O46" s="197">
        <v>45901</v>
      </c>
      <c r="P46" s="197">
        <v>45901</v>
      </c>
      <c r="Q46" s="161">
        <f>DATEDIF(O46,P46,"M")+1</f>
        <v>1</v>
      </c>
    </row>
    <row r="47" s="140" customFormat="1" ht="38" customHeight="1" spans="1:17">
      <c r="A47" s="160">
        <v>42</v>
      </c>
      <c r="B47" s="176" t="s">
        <v>156</v>
      </c>
      <c r="C47" s="165" t="s">
        <v>157</v>
      </c>
      <c r="D47" s="168" t="s">
        <v>23</v>
      </c>
      <c r="E47" s="176" t="s">
        <v>158</v>
      </c>
      <c r="F47" s="166" t="s">
        <v>159</v>
      </c>
      <c r="G47" s="168" t="s">
        <v>26</v>
      </c>
      <c r="H47" s="176">
        <v>4999</v>
      </c>
      <c r="I47" s="176">
        <v>8332</v>
      </c>
      <c r="J47" s="194">
        <v>399.92</v>
      </c>
      <c r="K47" s="194">
        <v>166.64</v>
      </c>
      <c r="L47" s="166">
        <v>25</v>
      </c>
      <c r="M47" s="195">
        <v>0.25</v>
      </c>
      <c r="N47" s="194">
        <f>(J47+K47+L47)*M47</f>
        <v>147.89</v>
      </c>
      <c r="O47" s="197">
        <v>45901</v>
      </c>
      <c r="P47" s="197">
        <v>45901</v>
      </c>
      <c r="Q47" s="161">
        <f>DATEDIF(O47,P47,"M")+1</f>
        <v>1</v>
      </c>
    </row>
    <row r="48" s="140" customFormat="1" ht="38" customHeight="1" spans="1:17">
      <c r="A48" s="160">
        <v>43</v>
      </c>
      <c r="B48" s="176" t="s">
        <v>160</v>
      </c>
      <c r="C48" s="175" t="s">
        <v>161</v>
      </c>
      <c r="D48" s="168" t="s">
        <v>23</v>
      </c>
      <c r="E48" s="168" t="s">
        <v>162</v>
      </c>
      <c r="F48" s="166" t="s">
        <v>163</v>
      </c>
      <c r="G48" s="168" t="s">
        <v>26</v>
      </c>
      <c r="H48" s="176">
        <v>4999</v>
      </c>
      <c r="I48" s="176">
        <v>8332</v>
      </c>
      <c r="J48" s="194">
        <v>399.92</v>
      </c>
      <c r="K48" s="194">
        <v>166.64</v>
      </c>
      <c r="L48" s="166">
        <v>25</v>
      </c>
      <c r="M48" s="195">
        <v>0.25</v>
      </c>
      <c r="N48" s="194">
        <f>(J48+K48+L48)*M48</f>
        <v>147.89</v>
      </c>
      <c r="O48" s="197">
        <v>45901</v>
      </c>
      <c r="P48" s="197">
        <v>45901</v>
      </c>
      <c r="Q48" s="161">
        <f>DATEDIF(O48,P48,"M")+1</f>
        <v>1</v>
      </c>
    </row>
    <row r="49" s="140" customFormat="1" ht="23" customHeight="1" spans="1:17">
      <c r="A49" s="160">
        <v>44</v>
      </c>
      <c r="B49" s="174" t="s">
        <v>164</v>
      </c>
      <c r="C49" s="165" t="s">
        <v>165</v>
      </c>
      <c r="D49" s="168" t="s">
        <v>23</v>
      </c>
      <c r="E49" s="176" t="s">
        <v>166</v>
      </c>
      <c r="F49" s="168" t="s">
        <v>167</v>
      </c>
      <c r="G49" s="168" t="s">
        <v>26</v>
      </c>
      <c r="H49" s="176">
        <v>4999</v>
      </c>
      <c r="I49" s="176">
        <v>8332</v>
      </c>
      <c r="J49" s="194">
        <v>399.92</v>
      </c>
      <c r="K49" s="194">
        <v>166.64</v>
      </c>
      <c r="L49" s="166">
        <v>25</v>
      </c>
      <c r="M49" s="195">
        <v>0.25</v>
      </c>
      <c r="N49" s="194">
        <f>(J49+K49+L49)*M49</f>
        <v>147.89</v>
      </c>
      <c r="O49" s="197">
        <v>45901</v>
      </c>
      <c r="P49" s="197">
        <v>45901</v>
      </c>
      <c r="Q49" s="161">
        <f>DATEDIF(O49,P49,"M")+1</f>
        <v>1</v>
      </c>
    </row>
    <row r="50" s="140" customFormat="1" ht="23" customHeight="1" spans="1:17">
      <c r="A50" s="160">
        <v>45</v>
      </c>
      <c r="B50" s="177"/>
      <c r="C50" s="165" t="s">
        <v>168</v>
      </c>
      <c r="D50" s="168" t="s">
        <v>23</v>
      </c>
      <c r="E50" s="176" t="s">
        <v>169</v>
      </c>
      <c r="F50" s="168" t="s">
        <v>170</v>
      </c>
      <c r="G50" s="168" t="s">
        <v>26</v>
      </c>
      <c r="H50" s="176">
        <v>4999</v>
      </c>
      <c r="I50" s="176">
        <v>8332</v>
      </c>
      <c r="J50" s="194">
        <v>399.92</v>
      </c>
      <c r="K50" s="194">
        <v>166.64</v>
      </c>
      <c r="L50" s="166">
        <v>25</v>
      </c>
      <c r="M50" s="195">
        <v>0.25</v>
      </c>
      <c r="N50" s="194">
        <f>(J50+K50+L50)*M50</f>
        <v>147.89</v>
      </c>
      <c r="O50" s="197">
        <v>45901</v>
      </c>
      <c r="P50" s="197">
        <v>45901</v>
      </c>
      <c r="Q50" s="161">
        <f>DATEDIF(O50,P50,"M")+1</f>
        <v>1</v>
      </c>
    </row>
    <row r="51" s="140" customFormat="1" ht="23" customHeight="1" spans="1:17">
      <c r="A51" s="160">
        <v>46</v>
      </c>
      <c r="B51" s="164" t="s">
        <v>171</v>
      </c>
      <c r="C51" s="178" t="s">
        <v>172</v>
      </c>
      <c r="D51" s="161" t="s">
        <v>23</v>
      </c>
      <c r="E51" s="178" t="s">
        <v>173</v>
      </c>
      <c r="F51" s="179" t="s">
        <v>174</v>
      </c>
      <c r="G51" s="180" t="s">
        <v>26</v>
      </c>
      <c r="H51" s="181">
        <v>4999</v>
      </c>
      <c r="I51" s="181">
        <v>8332</v>
      </c>
      <c r="J51" s="167">
        <v>399.92</v>
      </c>
      <c r="K51" s="161">
        <v>166.64</v>
      </c>
      <c r="L51" s="161">
        <v>25</v>
      </c>
      <c r="M51" s="195">
        <v>0.25</v>
      </c>
      <c r="N51" s="199">
        <f t="shared" ref="N51:N62" si="16">SUM((J51+K51+L51)*M51)</f>
        <v>147.89</v>
      </c>
      <c r="O51" s="196">
        <v>45901</v>
      </c>
      <c r="P51" s="196">
        <v>45901</v>
      </c>
      <c r="Q51" s="161">
        <v>1</v>
      </c>
    </row>
    <row r="52" s="140" customFormat="1" ht="23" customHeight="1" spans="1:17">
      <c r="A52" s="160">
        <v>47</v>
      </c>
      <c r="B52" s="164"/>
      <c r="C52" s="161" t="s">
        <v>175</v>
      </c>
      <c r="D52" s="161" t="s">
        <v>23</v>
      </c>
      <c r="E52" s="178" t="s">
        <v>176</v>
      </c>
      <c r="F52" s="179" t="s">
        <v>177</v>
      </c>
      <c r="G52" s="161" t="s">
        <v>26</v>
      </c>
      <c r="H52" s="167">
        <v>4999</v>
      </c>
      <c r="I52" s="161">
        <v>8332</v>
      </c>
      <c r="J52" s="167">
        <v>399.92</v>
      </c>
      <c r="K52" s="161">
        <v>166.64</v>
      </c>
      <c r="L52" s="161">
        <v>25</v>
      </c>
      <c r="M52" s="195">
        <v>0.25</v>
      </c>
      <c r="N52" s="199">
        <f>SUM((J52+K52+L52)*M52)</f>
        <v>147.89</v>
      </c>
      <c r="O52" s="196">
        <v>45902</v>
      </c>
      <c r="P52" s="196">
        <v>45902</v>
      </c>
      <c r="Q52" s="161">
        <v>1</v>
      </c>
    </row>
    <row r="53" s="140" customFormat="1" ht="23" customHeight="1" spans="1:17">
      <c r="A53" s="160">
        <v>48</v>
      </c>
      <c r="B53" s="164"/>
      <c r="C53" s="182" t="s">
        <v>178</v>
      </c>
      <c r="D53" s="183" t="s">
        <v>23</v>
      </c>
      <c r="E53" s="178" t="s">
        <v>179</v>
      </c>
      <c r="F53" s="179" t="s">
        <v>180</v>
      </c>
      <c r="G53" s="161" t="s">
        <v>26</v>
      </c>
      <c r="H53" s="167">
        <v>4999</v>
      </c>
      <c r="I53" s="161">
        <v>8332</v>
      </c>
      <c r="J53" s="167">
        <v>399.92</v>
      </c>
      <c r="K53" s="161">
        <v>166.64</v>
      </c>
      <c r="L53" s="161">
        <v>25</v>
      </c>
      <c r="M53" s="195">
        <v>0.25</v>
      </c>
      <c r="N53" s="199">
        <f>SUM((J53+K53+L53)*M53)</f>
        <v>147.89</v>
      </c>
      <c r="O53" s="196">
        <v>45903</v>
      </c>
      <c r="P53" s="196">
        <v>45903</v>
      </c>
      <c r="Q53" s="161">
        <v>1</v>
      </c>
    </row>
    <row r="54" s="140" customFormat="1" ht="23" customHeight="1" spans="1:17">
      <c r="A54" s="160">
        <v>49</v>
      </c>
      <c r="B54" s="164"/>
      <c r="C54" s="178" t="s">
        <v>181</v>
      </c>
      <c r="D54" s="183" t="s">
        <v>23</v>
      </c>
      <c r="E54" s="178" t="s">
        <v>182</v>
      </c>
      <c r="F54" s="179" t="s">
        <v>183</v>
      </c>
      <c r="G54" s="180" t="s">
        <v>26</v>
      </c>
      <c r="H54" s="181">
        <v>4999</v>
      </c>
      <c r="I54" s="181">
        <v>8332</v>
      </c>
      <c r="J54" s="167">
        <v>399.92</v>
      </c>
      <c r="K54" s="161">
        <v>166.64</v>
      </c>
      <c r="L54" s="161">
        <v>25</v>
      </c>
      <c r="M54" s="195">
        <v>0.25</v>
      </c>
      <c r="N54" s="199">
        <f>SUM((J54+K54+L54)*M54)</f>
        <v>147.89</v>
      </c>
      <c r="O54" s="196">
        <v>45904</v>
      </c>
      <c r="P54" s="196">
        <v>45904</v>
      </c>
      <c r="Q54" s="161">
        <v>1</v>
      </c>
    </row>
    <row r="55" s="140" customFormat="1" ht="23" customHeight="1" spans="1:17">
      <c r="A55" s="160">
        <v>50</v>
      </c>
      <c r="B55" s="164"/>
      <c r="C55" s="178" t="s">
        <v>184</v>
      </c>
      <c r="D55" s="183" t="s">
        <v>23</v>
      </c>
      <c r="E55" s="178" t="s">
        <v>185</v>
      </c>
      <c r="F55" s="179" t="s">
        <v>186</v>
      </c>
      <c r="G55" s="161" t="s">
        <v>26</v>
      </c>
      <c r="H55" s="167">
        <v>4999</v>
      </c>
      <c r="I55" s="161">
        <v>8332</v>
      </c>
      <c r="J55" s="167">
        <v>399.92</v>
      </c>
      <c r="K55" s="161">
        <v>166.64</v>
      </c>
      <c r="L55" s="161">
        <v>25</v>
      </c>
      <c r="M55" s="195">
        <v>0.25</v>
      </c>
      <c r="N55" s="199">
        <f>SUM((J55+K55+L55)*M55)</f>
        <v>147.89</v>
      </c>
      <c r="O55" s="196">
        <v>45905</v>
      </c>
      <c r="P55" s="196">
        <v>45905</v>
      </c>
      <c r="Q55" s="161">
        <v>1</v>
      </c>
    </row>
    <row r="56" s="140" customFormat="1" ht="23" customHeight="1" spans="1:17">
      <c r="A56" s="160">
        <v>51</v>
      </c>
      <c r="B56" s="164"/>
      <c r="C56" s="182" t="s">
        <v>187</v>
      </c>
      <c r="D56" s="183" t="s">
        <v>23</v>
      </c>
      <c r="E56" s="178" t="s">
        <v>188</v>
      </c>
      <c r="F56" s="179" t="s">
        <v>189</v>
      </c>
      <c r="G56" s="180" t="s">
        <v>26</v>
      </c>
      <c r="H56" s="181">
        <v>4999</v>
      </c>
      <c r="I56" s="181">
        <v>8332</v>
      </c>
      <c r="J56" s="167">
        <v>399.92</v>
      </c>
      <c r="K56" s="161">
        <v>166.64</v>
      </c>
      <c r="L56" s="161">
        <v>25</v>
      </c>
      <c r="M56" s="195">
        <v>0.25</v>
      </c>
      <c r="N56" s="199">
        <f>SUM((J56+K56+L56)*M56)</f>
        <v>147.89</v>
      </c>
      <c r="O56" s="196">
        <v>45906</v>
      </c>
      <c r="P56" s="196">
        <v>45906</v>
      </c>
      <c r="Q56" s="161">
        <v>1</v>
      </c>
    </row>
    <row r="57" s="140" customFormat="1" ht="23" customHeight="1" spans="1:17">
      <c r="A57" s="160">
        <v>52</v>
      </c>
      <c r="B57" s="164"/>
      <c r="C57" s="178" t="s">
        <v>190</v>
      </c>
      <c r="D57" s="183" t="s">
        <v>23</v>
      </c>
      <c r="E57" s="178" t="s">
        <v>191</v>
      </c>
      <c r="F57" s="179" t="s">
        <v>192</v>
      </c>
      <c r="G57" s="161" t="s">
        <v>26</v>
      </c>
      <c r="H57" s="167">
        <v>4999</v>
      </c>
      <c r="I57" s="161">
        <v>8332</v>
      </c>
      <c r="J57" s="167">
        <v>399.92</v>
      </c>
      <c r="K57" s="161">
        <v>166.64</v>
      </c>
      <c r="L57" s="161">
        <v>25</v>
      </c>
      <c r="M57" s="195">
        <v>0.25</v>
      </c>
      <c r="N57" s="199">
        <f>SUM((J57+K57+L57)*M57)</f>
        <v>147.89</v>
      </c>
      <c r="O57" s="196">
        <v>45907</v>
      </c>
      <c r="P57" s="196">
        <v>45907</v>
      </c>
      <c r="Q57" s="161">
        <v>1</v>
      </c>
    </row>
    <row r="58" s="140" customFormat="1" ht="23" customHeight="1" spans="1:17">
      <c r="A58" s="160">
        <v>53</v>
      </c>
      <c r="B58" s="164"/>
      <c r="C58" s="182" t="s">
        <v>193</v>
      </c>
      <c r="D58" s="183" t="s">
        <v>23</v>
      </c>
      <c r="E58" s="178" t="s">
        <v>194</v>
      </c>
      <c r="F58" s="179" t="s">
        <v>195</v>
      </c>
      <c r="G58" s="180" t="s">
        <v>26</v>
      </c>
      <c r="H58" s="181">
        <v>4999</v>
      </c>
      <c r="I58" s="181">
        <v>8332</v>
      </c>
      <c r="J58" s="167">
        <v>399.92</v>
      </c>
      <c r="K58" s="161">
        <v>166.64</v>
      </c>
      <c r="L58" s="161">
        <v>25</v>
      </c>
      <c r="M58" s="195">
        <v>0.25</v>
      </c>
      <c r="N58" s="199">
        <f>SUM((J58+K58+L58)*M58)</f>
        <v>147.89</v>
      </c>
      <c r="O58" s="196">
        <v>45908</v>
      </c>
      <c r="P58" s="196">
        <v>45908</v>
      </c>
      <c r="Q58" s="161">
        <v>1</v>
      </c>
    </row>
    <row r="59" s="140" customFormat="1" ht="23" customHeight="1" spans="1:17">
      <c r="A59" s="160">
        <v>54</v>
      </c>
      <c r="B59" s="164"/>
      <c r="C59" s="178" t="s">
        <v>196</v>
      </c>
      <c r="D59" s="183" t="s">
        <v>23</v>
      </c>
      <c r="E59" s="178" t="s">
        <v>197</v>
      </c>
      <c r="F59" s="179" t="s">
        <v>198</v>
      </c>
      <c r="G59" s="161" t="s">
        <v>26</v>
      </c>
      <c r="H59" s="167">
        <v>4999</v>
      </c>
      <c r="I59" s="161">
        <v>8332</v>
      </c>
      <c r="J59" s="167">
        <v>399.92</v>
      </c>
      <c r="K59" s="161">
        <v>166.64</v>
      </c>
      <c r="L59" s="161">
        <v>25</v>
      </c>
      <c r="M59" s="195">
        <v>0.25</v>
      </c>
      <c r="N59" s="199">
        <f>SUM((J59+K59+L59)*M59)</f>
        <v>147.89</v>
      </c>
      <c r="O59" s="196">
        <v>45909</v>
      </c>
      <c r="P59" s="196">
        <v>45909</v>
      </c>
      <c r="Q59" s="161">
        <v>1</v>
      </c>
    </row>
    <row r="60" s="140" customFormat="1" ht="23" customHeight="1" spans="1:17">
      <c r="A60" s="160">
        <v>55</v>
      </c>
      <c r="B60" s="164"/>
      <c r="C60" s="178" t="s">
        <v>199</v>
      </c>
      <c r="D60" s="183" t="s">
        <v>23</v>
      </c>
      <c r="E60" s="178" t="s">
        <v>200</v>
      </c>
      <c r="F60" s="179" t="s">
        <v>201</v>
      </c>
      <c r="G60" s="180" t="s">
        <v>26</v>
      </c>
      <c r="H60" s="181">
        <v>4999</v>
      </c>
      <c r="I60" s="181">
        <v>8332</v>
      </c>
      <c r="J60" s="167">
        <v>399.92</v>
      </c>
      <c r="K60" s="161">
        <v>166.64</v>
      </c>
      <c r="L60" s="161">
        <v>25</v>
      </c>
      <c r="M60" s="195">
        <v>0.25</v>
      </c>
      <c r="N60" s="199">
        <f>SUM((J60+K60+L60)*M60)</f>
        <v>147.89</v>
      </c>
      <c r="O60" s="196">
        <v>45910</v>
      </c>
      <c r="P60" s="196">
        <v>45910</v>
      </c>
      <c r="Q60" s="161">
        <v>1</v>
      </c>
    </row>
    <row r="61" s="140" customFormat="1" ht="23" customHeight="1" spans="1:17">
      <c r="A61" s="160">
        <v>56</v>
      </c>
      <c r="B61" s="164"/>
      <c r="C61" s="178" t="s">
        <v>202</v>
      </c>
      <c r="D61" s="183" t="s">
        <v>23</v>
      </c>
      <c r="E61" s="178" t="s">
        <v>203</v>
      </c>
      <c r="F61" s="179" t="s">
        <v>204</v>
      </c>
      <c r="G61" s="161" t="s">
        <v>26</v>
      </c>
      <c r="H61" s="167">
        <v>4999</v>
      </c>
      <c r="I61" s="161">
        <v>8332</v>
      </c>
      <c r="J61" s="167">
        <v>399.92</v>
      </c>
      <c r="K61" s="161">
        <v>166.64</v>
      </c>
      <c r="L61" s="161">
        <v>25</v>
      </c>
      <c r="M61" s="195">
        <v>0.25</v>
      </c>
      <c r="N61" s="199">
        <f>SUM((J61+K61+L61)*M61)</f>
        <v>147.89</v>
      </c>
      <c r="O61" s="196">
        <v>45911</v>
      </c>
      <c r="P61" s="196">
        <v>45911</v>
      </c>
      <c r="Q61" s="161">
        <v>1</v>
      </c>
    </row>
    <row r="62" s="140" customFormat="1" ht="23" customHeight="1" spans="1:17">
      <c r="A62" s="160">
        <v>57</v>
      </c>
      <c r="B62" s="167"/>
      <c r="C62" s="178" t="s">
        <v>205</v>
      </c>
      <c r="D62" s="183" t="s">
        <v>23</v>
      </c>
      <c r="E62" s="178" t="s">
        <v>206</v>
      </c>
      <c r="F62" s="179" t="s">
        <v>207</v>
      </c>
      <c r="G62" s="180" t="s">
        <v>26</v>
      </c>
      <c r="H62" s="181">
        <v>4999</v>
      </c>
      <c r="I62" s="181">
        <v>8332</v>
      </c>
      <c r="J62" s="167">
        <v>399.92</v>
      </c>
      <c r="K62" s="161">
        <v>166.64</v>
      </c>
      <c r="L62" s="161">
        <v>25</v>
      </c>
      <c r="M62" s="195">
        <v>0.25</v>
      </c>
      <c r="N62" s="199">
        <f>SUM((J62+K62+L62)*M62)</f>
        <v>147.89</v>
      </c>
      <c r="O62" s="196">
        <v>45912</v>
      </c>
      <c r="P62" s="196">
        <v>45912</v>
      </c>
      <c r="Q62" s="161">
        <v>1</v>
      </c>
    </row>
    <row r="63" s="140" customFormat="1" ht="26" customHeight="1" spans="1:17">
      <c r="A63" s="160">
        <v>58</v>
      </c>
      <c r="B63" s="161" t="s">
        <v>208</v>
      </c>
      <c r="C63" s="161" t="s">
        <v>209</v>
      </c>
      <c r="D63" s="161" t="s">
        <v>40</v>
      </c>
      <c r="E63" s="161" t="s">
        <v>210</v>
      </c>
      <c r="F63" s="161" t="s">
        <v>211</v>
      </c>
      <c r="G63" s="161" t="s">
        <v>26</v>
      </c>
      <c r="H63" s="167">
        <v>4999</v>
      </c>
      <c r="I63" s="161">
        <v>8332</v>
      </c>
      <c r="J63" s="167">
        <v>399.92</v>
      </c>
      <c r="K63" s="161">
        <v>166.64</v>
      </c>
      <c r="L63" s="200">
        <v>25</v>
      </c>
      <c r="M63" s="195">
        <v>0.25</v>
      </c>
      <c r="N63" s="199">
        <f t="shared" ref="N63:N79" si="17">SUM((J63+K63+L63)*M63)</f>
        <v>147.89</v>
      </c>
      <c r="O63" s="197">
        <v>45901</v>
      </c>
      <c r="P63" s="197">
        <v>45901</v>
      </c>
      <c r="Q63" s="161">
        <f t="shared" ref="Q63:Q80" si="18">DATEDIF(O63,P63,"M")+1</f>
        <v>1</v>
      </c>
    </row>
    <row r="64" s="140" customFormat="1" ht="23" customHeight="1" spans="1:17">
      <c r="A64" s="160">
        <v>59</v>
      </c>
      <c r="B64" s="163" t="s">
        <v>212</v>
      </c>
      <c r="C64" s="161" t="s">
        <v>213</v>
      </c>
      <c r="D64" s="161" t="s">
        <v>23</v>
      </c>
      <c r="E64" s="168" t="s">
        <v>214</v>
      </c>
      <c r="F64" s="161" t="s">
        <v>215</v>
      </c>
      <c r="G64" s="161" t="s">
        <v>26</v>
      </c>
      <c r="H64" s="161">
        <v>4999</v>
      </c>
      <c r="I64" s="161">
        <v>8332</v>
      </c>
      <c r="J64" s="161">
        <v>399.92</v>
      </c>
      <c r="K64" s="161">
        <v>166.64</v>
      </c>
      <c r="L64" s="161">
        <v>25</v>
      </c>
      <c r="M64" s="195">
        <v>0.25</v>
      </c>
      <c r="N64" s="199">
        <f>SUM((J64+K64+L64)*M64)</f>
        <v>147.89</v>
      </c>
      <c r="O64" s="197">
        <v>45901</v>
      </c>
      <c r="P64" s="197">
        <v>45901</v>
      </c>
      <c r="Q64" s="161">
        <f>DATEDIF(O64,P64,"M")+1</f>
        <v>1</v>
      </c>
    </row>
    <row r="65" s="140" customFormat="1" ht="23" customHeight="1" spans="1:17">
      <c r="A65" s="160">
        <v>60</v>
      </c>
      <c r="B65" s="164"/>
      <c r="C65" s="161" t="s">
        <v>216</v>
      </c>
      <c r="D65" s="167" t="s">
        <v>40</v>
      </c>
      <c r="E65" s="168" t="s">
        <v>217</v>
      </c>
      <c r="F65" s="161" t="s">
        <v>218</v>
      </c>
      <c r="G65" s="161" t="s">
        <v>26</v>
      </c>
      <c r="H65" s="161">
        <v>4999</v>
      </c>
      <c r="I65" s="161">
        <v>8332</v>
      </c>
      <c r="J65" s="161">
        <v>399.92</v>
      </c>
      <c r="K65" s="161">
        <v>166.64</v>
      </c>
      <c r="L65" s="161">
        <v>25</v>
      </c>
      <c r="M65" s="195">
        <v>0.25</v>
      </c>
      <c r="N65" s="199">
        <f>SUM((J65+K65+L65)*M65)</f>
        <v>147.89</v>
      </c>
      <c r="O65" s="197">
        <v>45901</v>
      </c>
      <c r="P65" s="197">
        <v>45901</v>
      </c>
      <c r="Q65" s="161">
        <f>DATEDIF(O65,P65,"M")+1</f>
        <v>1</v>
      </c>
    </row>
    <row r="66" s="140" customFormat="1" ht="23" customHeight="1" spans="1:17">
      <c r="A66" s="160">
        <v>61</v>
      </c>
      <c r="B66" s="164"/>
      <c r="C66" s="161" t="s">
        <v>219</v>
      </c>
      <c r="D66" s="167" t="s">
        <v>40</v>
      </c>
      <c r="E66" s="168" t="s">
        <v>220</v>
      </c>
      <c r="F66" s="161" t="s">
        <v>221</v>
      </c>
      <c r="G66" s="161" t="s">
        <v>26</v>
      </c>
      <c r="H66" s="161">
        <v>4999</v>
      </c>
      <c r="I66" s="161">
        <v>8332</v>
      </c>
      <c r="J66" s="161">
        <v>399.92</v>
      </c>
      <c r="K66" s="161">
        <v>166.64</v>
      </c>
      <c r="L66" s="161">
        <v>25</v>
      </c>
      <c r="M66" s="195">
        <v>0.25</v>
      </c>
      <c r="N66" s="199">
        <f>SUM((J66+K66+L66)*M66)</f>
        <v>147.89</v>
      </c>
      <c r="O66" s="197">
        <v>45901</v>
      </c>
      <c r="P66" s="197">
        <v>45901</v>
      </c>
      <c r="Q66" s="161">
        <f>DATEDIF(O66,P66,"M")+1</f>
        <v>1</v>
      </c>
    </row>
    <row r="67" s="140" customFormat="1" ht="23" customHeight="1" spans="1:17">
      <c r="A67" s="160">
        <v>62</v>
      </c>
      <c r="B67" s="164"/>
      <c r="C67" s="161" t="s">
        <v>222</v>
      </c>
      <c r="D67" s="161" t="s">
        <v>40</v>
      </c>
      <c r="E67" s="167" t="s">
        <v>223</v>
      </c>
      <c r="F67" s="161" t="s">
        <v>224</v>
      </c>
      <c r="G67" s="161" t="s">
        <v>26</v>
      </c>
      <c r="H67" s="161">
        <v>4999</v>
      </c>
      <c r="I67" s="161">
        <v>8332</v>
      </c>
      <c r="J67" s="161">
        <v>399.92</v>
      </c>
      <c r="K67" s="161">
        <v>166.64</v>
      </c>
      <c r="L67" s="161">
        <v>25</v>
      </c>
      <c r="M67" s="195">
        <v>0.25</v>
      </c>
      <c r="N67" s="199">
        <f>SUM((J67+K67+L67)*M67)</f>
        <v>147.89</v>
      </c>
      <c r="O67" s="197">
        <v>45901</v>
      </c>
      <c r="P67" s="197">
        <v>45901</v>
      </c>
      <c r="Q67" s="161">
        <f>DATEDIF(O67,P67,"M")+1</f>
        <v>1</v>
      </c>
    </row>
    <row r="68" s="140" customFormat="1" ht="23" customHeight="1" spans="1:17">
      <c r="A68" s="160">
        <v>63</v>
      </c>
      <c r="B68" s="164"/>
      <c r="C68" s="161" t="s">
        <v>225</v>
      </c>
      <c r="D68" s="161" t="s">
        <v>40</v>
      </c>
      <c r="E68" s="167" t="s">
        <v>226</v>
      </c>
      <c r="F68" s="161" t="s">
        <v>227</v>
      </c>
      <c r="G68" s="161" t="s">
        <v>26</v>
      </c>
      <c r="H68" s="161">
        <v>4999</v>
      </c>
      <c r="I68" s="161">
        <v>8332</v>
      </c>
      <c r="J68" s="161">
        <v>399.92</v>
      </c>
      <c r="K68" s="161">
        <v>166.64</v>
      </c>
      <c r="L68" s="161">
        <v>25</v>
      </c>
      <c r="M68" s="195">
        <v>0.25</v>
      </c>
      <c r="N68" s="199">
        <f>SUM((J68+K68+L68)*M68)</f>
        <v>147.89</v>
      </c>
      <c r="O68" s="197">
        <v>45901</v>
      </c>
      <c r="P68" s="197">
        <v>45901</v>
      </c>
      <c r="Q68" s="161">
        <f>DATEDIF(O68,P68,"M")+1</f>
        <v>1</v>
      </c>
    </row>
    <row r="69" s="140" customFormat="1" ht="23" customHeight="1" spans="1:17">
      <c r="A69" s="160">
        <v>64</v>
      </c>
      <c r="B69" s="164"/>
      <c r="C69" s="161" t="s">
        <v>228</v>
      </c>
      <c r="D69" s="161" t="s">
        <v>40</v>
      </c>
      <c r="E69" s="167" t="s">
        <v>229</v>
      </c>
      <c r="F69" s="161" t="s">
        <v>230</v>
      </c>
      <c r="G69" s="161" t="s">
        <v>26</v>
      </c>
      <c r="H69" s="161">
        <v>4999</v>
      </c>
      <c r="I69" s="161">
        <v>8332</v>
      </c>
      <c r="J69" s="161">
        <v>399.92</v>
      </c>
      <c r="K69" s="161">
        <v>166.64</v>
      </c>
      <c r="L69" s="161">
        <v>25</v>
      </c>
      <c r="M69" s="195">
        <v>0.25</v>
      </c>
      <c r="N69" s="199">
        <f>SUM((J69+K69+L69)*M69)</f>
        <v>147.89</v>
      </c>
      <c r="O69" s="197">
        <v>45901</v>
      </c>
      <c r="P69" s="197">
        <v>45901</v>
      </c>
      <c r="Q69" s="161">
        <f>DATEDIF(O69,P69,"M")+1</f>
        <v>1</v>
      </c>
    </row>
    <row r="70" s="140" customFormat="1" ht="23" customHeight="1" spans="1:17">
      <c r="A70" s="160">
        <v>65</v>
      </c>
      <c r="B70" s="164"/>
      <c r="C70" s="161" t="s">
        <v>231</v>
      </c>
      <c r="D70" s="161" t="s">
        <v>23</v>
      </c>
      <c r="E70" s="167" t="s">
        <v>232</v>
      </c>
      <c r="F70" s="161" t="s">
        <v>233</v>
      </c>
      <c r="G70" s="161" t="s">
        <v>26</v>
      </c>
      <c r="H70" s="161">
        <v>4999</v>
      </c>
      <c r="I70" s="161">
        <v>8332</v>
      </c>
      <c r="J70" s="161">
        <v>399.92</v>
      </c>
      <c r="K70" s="161">
        <v>166.64</v>
      </c>
      <c r="L70" s="161">
        <v>25</v>
      </c>
      <c r="M70" s="195">
        <v>0.25</v>
      </c>
      <c r="N70" s="199">
        <f>SUM((J70+K70+L70)*M70)</f>
        <v>147.89</v>
      </c>
      <c r="O70" s="197">
        <v>45901</v>
      </c>
      <c r="P70" s="197">
        <v>45901</v>
      </c>
      <c r="Q70" s="161">
        <f>DATEDIF(O70,P70,"M")+1</f>
        <v>1</v>
      </c>
    </row>
    <row r="71" s="140" customFormat="1" ht="23" customHeight="1" spans="1:17">
      <c r="A71" s="160">
        <v>66</v>
      </c>
      <c r="B71" s="164"/>
      <c r="C71" s="161" t="s">
        <v>234</v>
      </c>
      <c r="D71" s="161" t="s">
        <v>23</v>
      </c>
      <c r="E71" s="167" t="s">
        <v>235</v>
      </c>
      <c r="F71" s="161" t="s">
        <v>236</v>
      </c>
      <c r="G71" s="161" t="s">
        <v>26</v>
      </c>
      <c r="H71" s="161">
        <v>4999</v>
      </c>
      <c r="I71" s="161">
        <v>8332</v>
      </c>
      <c r="J71" s="161">
        <v>399.92</v>
      </c>
      <c r="K71" s="161">
        <v>166.64</v>
      </c>
      <c r="L71" s="161">
        <v>25</v>
      </c>
      <c r="M71" s="195">
        <v>0.25</v>
      </c>
      <c r="N71" s="199">
        <f>SUM((J71+K71+L71)*M71)</f>
        <v>147.89</v>
      </c>
      <c r="O71" s="197">
        <v>45901</v>
      </c>
      <c r="P71" s="197">
        <v>45901</v>
      </c>
      <c r="Q71" s="161">
        <f>DATEDIF(O71,P71,"M")+1</f>
        <v>1</v>
      </c>
    </row>
    <row r="72" s="140" customFormat="1" ht="23" customHeight="1" spans="1:17">
      <c r="A72" s="160">
        <v>67</v>
      </c>
      <c r="B72" s="164"/>
      <c r="C72" s="161" t="s">
        <v>237</v>
      </c>
      <c r="D72" s="161" t="s">
        <v>40</v>
      </c>
      <c r="E72" s="167" t="s">
        <v>238</v>
      </c>
      <c r="F72" s="161" t="s">
        <v>239</v>
      </c>
      <c r="G72" s="161" t="s">
        <v>26</v>
      </c>
      <c r="H72" s="161">
        <v>4999</v>
      </c>
      <c r="I72" s="161">
        <v>8332</v>
      </c>
      <c r="J72" s="161">
        <v>399.92</v>
      </c>
      <c r="K72" s="161">
        <v>166.64</v>
      </c>
      <c r="L72" s="161">
        <v>25</v>
      </c>
      <c r="M72" s="195">
        <v>0.25</v>
      </c>
      <c r="N72" s="199">
        <f>SUM((J72+K72+L72)*M72)</f>
        <v>147.89</v>
      </c>
      <c r="O72" s="197">
        <v>45901</v>
      </c>
      <c r="P72" s="197">
        <v>45901</v>
      </c>
      <c r="Q72" s="161">
        <f>DATEDIF(O72,P72,"M")+1</f>
        <v>1</v>
      </c>
    </row>
    <row r="73" s="140" customFormat="1" ht="23" customHeight="1" spans="1:17">
      <c r="A73" s="160">
        <v>68</v>
      </c>
      <c r="B73" s="164"/>
      <c r="C73" s="161" t="s">
        <v>240</v>
      </c>
      <c r="D73" s="161" t="s">
        <v>40</v>
      </c>
      <c r="E73" s="167" t="s">
        <v>241</v>
      </c>
      <c r="F73" s="161" t="s">
        <v>242</v>
      </c>
      <c r="G73" s="161" t="s">
        <v>26</v>
      </c>
      <c r="H73" s="161">
        <v>4999</v>
      </c>
      <c r="I73" s="161">
        <v>8332</v>
      </c>
      <c r="J73" s="161">
        <v>399.92</v>
      </c>
      <c r="K73" s="161">
        <v>166.64</v>
      </c>
      <c r="L73" s="161">
        <v>25</v>
      </c>
      <c r="M73" s="195">
        <v>0.25</v>
      </c>
      <c r="N73" s="199">
        <f>SUM((J73+K73+L73)*M73)</f>
        <v>147.89</v>
      </c>
      <c r="O73" s="197">
        <v>45901</v>
      </c>
      <c r="P73" s="197">
        <v>45901</v>
      </c>
      <c r="Q73" s="161">
        <f>DATEDIF(O73,P73,"M")+1</f>
        <v>1</v>
      </c>
    </row>
    <row r="74" s="140" customFormat="1" ht="23" customHeight="1" spans="1:17">
      <c r="A74" s="160">
        <v>69</v>
      </c>
      <c r="B74" s="164"/>
      <c r="C74" s="161" t="s">
        <v>243</v>
      </c>
      <c r="D74" s="161" t="s">
        <v>23</v>
      </c>
      <c r="E74" s="167" t="s">
        <v>244</v>
      </c>
      <c r="F74" s="161" t="s">
        <v>245</v>
      </c>
      <c r="G74" s="161" t="s">
        <v>26</v>
      </c>
      <c r="H74" s="161">
        <v>4999</v>
      </c>
      <c r="I74" s="161">
        <v>8332</v>
      </c>
      <c r="J74" s="161">
        <v>399.92</v>
      </c>
      <c r="K74" s="161">
        <v>166.64</v>
      </c>
      <c r="L74" s="161">
        <v>25</v>
      </c>
      <c r="M74" s="195">
        <v>0.25</v>
      </c>
      <c r="N74" s="199">
        <f>SUM((J74+K74+L74)*M74)</f>
        <v>147.89</v>
      </c>
      <c r="O74" s="197">
        <v>45901</v>
      </c>
      <c r="P74" s="197">
        <v>45901</v>
      </c>
      <c r="Q74" s="161">
        <f>DATEDIF(O74,P74,"M")+1</f>
        <v>1</v>
      </c>
    </row>
    <row r="75" s="140" customFormat="1" ht="23" customHeight="1" spans="1:17">
      <c r="A75" s="160">
        <v>70</v>
      </c>
      <c r="B75" s="164"/>
      <c r="C75" s="161" t="s">
        <v>246</v>
      </c>
      <c r="D75" s="161" t="s">
        <v>23</v>
      </c>
      <c r="E75" s="167" t="s">
        <v>247</v>
      </c>
      <c r="F75" s="161" t="s">
        <v>248</v>
      </c>
      <c r="G75" s="161" t="s">
        <v>26</v>
      </c>
      <c r="H75" s="161">
        <v>4999</v>
      </c>
      <c r="I75" s="161">
        <v>8332</v>
      </c>
      <c r="J75" s="161">
        <v>399.92</v>
      </c>
      <c r="K75" s="161">
        <v>166.64</v>
      </c>
      <c r="L75" s="161">
        <v>25</v>
      </c>
      <c r="M75" s="195">
        <v>0.25</v>
      </c>
      <c r="N75" s="199">
        <f>SUM((J75+K75+L75)*M75)</f>
        <v>147.89</v>
      </c>
      <c r="O75" s="197">
        <v>45901</v>
      </c>
      <c r="P75" s="197">
        <v>45901</v>
      </c>
      <c r="Q75" s="161">
        <f>DATEDIF(O75,P75,"M")+1</f>
        <v>1</v>
      </c>
    </row>
    <row r="76" s="140" customFormat="1" ht="23" customHeight="1" spans="1:17">
      <c r="A76" s="160">
        <v>71</v>
      </c>
      <c r="B76" s="164"/>
      <c r="C76" s="161" t="s">
        <v>249</v>
      </c>
      <c r="D76" s="161" t="s">
        <v>40</v>
      </c>
      <c r="E76" s="167" t="s">
        <v>250</v>
      </c>
      <c r="F76" s="161" t="s">
        <v>251</v>
      </c>
      <c r="G76" s="161" t="s">
        <v>252</v>
      </c>
      <c r="H76" s="161">
        <v>4999</v>
      </c>
      <c r="I76" s="161">
        <v>8332</v>
      </c>
      <c r="J76" s="161">
        <v>399.92</v>
      </c>
      <c r="K76" s="161">
        <v>166.64</v>
      </c>
      <c r="L76" s="161">
        <v>25</v>
      </c>
      <c r="M76" s="195">
        <v>0.25</v>
      </c>
      <c r="N76" s="199">
        <f>SUM((J76+K76+L76)*M76)</f>
        <v>147.89</v>
      </c>
      <c r="O76" s="197">
        <v>45901</v>
      </c>
      <c r="P76" s="197">
        <v>45901</v>
      </c>
      <c r="Q76" s="161">
        <f>DATEDIF(O76,P76,"M")+1</f>
        <v>1</v>
      </c>
    </row>
    <row r="77" s="140" customFormat="1" ht="23" customHeight="1" spans="1:17">
      <c r="A77" s="160">
        <v>72</v>
      </c>
      <c r="B77" s="164"/>
      <c r="C77" s="161" t="s">
        <v>253</v>
      </c>
      <c r="D77" s="161" t="s">
        <v>23</v>
      </c>
      <c r="E77" s="167" t="s">
        <v>254</v>
      </c>
      <c r="F77" s="161" t="s">
        <v>255</v>
      </c>
      <c r="G77" s="161" t="s">
        <v>26</v>
      </c>
      <c r="H77" s="161">
        <v>4999</v>
      </c>
      <c r="I77" s="161">
        <v>8332</v>
      </c>
      <c r="J77" s="161">
        <v>399.92</v>
      </c>
      <c r="K77" s="161">
        <v>166.64</v>
      </c>
      <c r="L77" s="161">
        <v>25</v>
      </c>
      <c r="M77" s="195">
        <v>0.25</v>
      </c>
      <c r="N77" s="199">
        <f>SUM((J77+K77+L77)*M77)</f>
        <v>147.89</v>
      </c>
      <c r="O77" s="197">
        <v>45901</v>
      </c>
      <c r="P77" s="197">
        <v>45901</v>
      </c>
      <c r="Q77" s="161">
        <f>DATEDIF(O77,P77,"M")+1</f>
        <v>1</v>
      </c>
    </row>
    <row r="78" s="140" customFormat="1" ht="23" customHeight="1" spans="1:17">
      <c r="A78" s="160">
        <v>73</v>
      </c>
      <c r="B78" s="164"/>
      <c r="C78" s="161" t="s">
        <v>256</v>
      </c>
      <c r="D78" s="161" t="s">
        <v>40</v>
      </c>
      <c r="E78" s="167" t="s">
        <v>257</v>
      </c>
      <c r="F78" s="161" t="s">
        <v>258</v>
      </c>
      <c r="G78" s="161" t="s">
        <v>252</v>
      </c>
      <c r="H78" s="161">
        <v>4999</v>
      </c>
      <c r="I78" s="161">
        <v>8332</v>
      </c>
      <c r="J78" s="161">
        <v>399.92</v>
      </c>
      <c r="K78" s="161">
        <v>166.64</v>
      </c>
      <c r="L78" s="161">
        <v>25</v>
      </c>
      <c r="M78" s="195">
        <v>0.25</v>
      </c>
      <c r="N78" s="199">
        <f>SUM((J78+K78+L78)*M78)</f>
        <v>147.89</v>
      </c>
      <c r="O78" s="197">
        <v>45901</v>
      </c>
      <c r="P78" s="197">
        <v>45901</v>
      </c>
      <c r="Q78" s="161">
        <f>DATEDIF(O78,P78,"M")+1</f>
        <v>1</v>
      </c>
    </row>
    <row r="79" s="140" customFormat="1" ht="23" customHeight="1" spans="1:17">
      <c r="A79" s="160">
        <v>74</v>
      </c>
      <c r="B79" s="167"/>
      <c r="C79" s="161" t="s">
        <v>259</v>
      </c>
      <c r="D79" s="161" t="s">
        <v>40</v>
      </c>
      <c r="E79" s="167" t="s">
        <v>260</v>
      </c>
      <c r="F79" s="161" t="s">
        <v>261</v>
      </c>
      <c r="G79" s="161" t="s">
        <v>252</v>
      </c>
      <c r="H79" s="161">
        <v>4999</v>
      </c>
      <c r="I79" s="161">
        <v>8332</v>
      </c>
      <c r="J79" s="161">
        <v>399.92</v>
      </c>
      <c r="K79" s="161">
        <v>166.64</v>
      </c>
      <c r="L79" s="161">
        <v>25</v>
      </c>
      <c r="M79" s="195">
        <v>0.25</v>
      </c>
      <c r="N79" s="199">
        <f>SUM((J79+K79+L79)*M79)</f>
        <v>147.89</v>
      </c>
      <c r="O79" s="197">
        <v>45901</v>
      </c>
      <c r="P79" s="197">
        <v>45901</v>
      </c>
      <c r="Q79" s="161">
        <f>DATEDIF(O79,P79,"M")+1</f>
        <v>1</v>
      </c>
    </row>
    <row r="80" s="140" customFormat="1" ht="26" customHeight="1" spans="1:17">
      <c r="A80" s="160">
        <v>75</v>
      </c>
      <c r="B80" s="163" t="s">
        <v>262</v>
      </c>
      <c r="C80" s="201" t="s">
        <v>263</v>
      </c>
      <c r="D80" s="163" t="s">
        <v>40</v>
      </c>
      <c r="E80" s="163" t="s">
        <v>264</v>
      </c>
      <c r="F80" s="202" t="s">
        <v>265</v>
      </c>
      <c r="G80" s="163" t="s">
        <v>26</v>
      </c>
      <c r="H80" s="203">
        <v>5000</v>
      </c>
      <c r="I80" s="203">
        <v>8332</v>
      </c>
      <c r="J80" s="211">
        <f t="shared" ref="J80:J85" si="19">ROUND(H80*0.08,2)</f>
        <v>400</v>
      </c>
      <c r="K80" s="211">
        <f t="shared" ref="K80:K85" si="20">ROUND(I80*0.02,2)</f>
        <v>166.64</v>
      </c>
      <c r="L80" s="203">
        <f t="shared" ref="L80:L85" si="21">ROUND(H80*0.005,2)</f>
        <v>25</v>
      </c>
      <c r="M80" s="212">
        <v>0.25</v>
      </c>
      <c r="N80" s="211">
        <f t="shared" ref="N80:N85" si="22">(J80+K80+L80)*M80</f>
        <v>147.91</v>
      </c>
      <c r="O80" s="213">
        <v>45901</v>
      </c>
      <c r="P80" s="213">
        <v>45901</v>
      </c>
      <c r="Q80" s="163">
        <f>DATEDIF(O80,P80,"M")+1</f>
        <v>1</v>
      </c>
    </row>
    <row r="81" s="140" customFormat="1" ht="23" customHeight="1" spans="1:17">
      <c r="A81" s="160">
        <v>76</v>
      </c>
      <c r="B81" s="161" t="s">
        <v>266</v>
      </c>
      <c r="C81" s="168" t="s">
        <v>267</v>
      </c>
      <c r="D81" s="161" t="s">
        <v>40</v>
      </c>
      <c r="E81" s="168" t="s">
        <v>268</v>
      </c>
      <c r="F81" s="204" t="s">
        <v>269</v>
      </c>
      <c r="G81" s="161" t="s">
        <v>26</v>
      </c>
      <c r="H81" s="161">
        <v>4999</v>
      </c>
      <c r="I81" s="161">
        <v>8332</v>
      </c>
      <c r="J81" s="194">
        <f>ROUND(H81*0.08,2)</f>
        <v>399.92</v>
      </c>
      <c r="K81" s="194">
        <f>ROUND(I81*0.02,2)</f>
        <v>166.64</v>
      </c>
      <c r="L81" s="166">
        <f>ROUND(H81*0.005,2)</f>
        <v>25</v>
      </c>
      <c r="M81" s="195">
        <v>0.25</v>
      </c>
      <c r="N81" s="194">
        <f>(J81+K81+L81)*M81</f>
        <v>147.89</v>
      </c>
      <c r="O81" s="168" t="s">
        <v>270</v>
      </c>
      <c r="P81" s="197">
        <v>45901</v>
      </c>
      <c r="Q81" s="161">
        <v>1</v>
      </c>
    </row>
    <row r="82" s="140" customFormat="1" ht="23" customHeight="1" spans="1:17">
      <c r="A82" s="160">
        <v>77</v>
      </c>
      <c r="B82" s="161"/>
      <c r="C82" s="168" t="s">
        <v>271</v>
      </c>
      <c r="D82" s="161" t="s">
        <v>40</v>
      </c>
      <c r="E82" s="168" t="s">
        <v>272</v>
      </c>
      <c r="F82" s="204" t="s">
        <v>273</v>
      </c>
      <c r="G82" s="161" t="s">
        <v>26</v>
      </c>
      <c r="H82" s="161">
        <v>4999</v>
      </c>
      <c r="I82" s="161">
        <v>8332</v>
      </c>
      <c r="J82" s="194">
        <f>ROUND(H82*0.08,2)</f>
        <v>399.92</v>
      </c>
      <c r="K82" s="194">
        <f>ROUND(I82*0.02,2)</f>
        <v>166.64</v>
      </c>
      <c r="L82" s="166">
        <f>ROUND(H82*0.005,2)</f>
        <v>25</v>
      </c>
      <c r="M82" s="195">
        <v>0.25</v>
      </c>
      <c r="N82" s="194">
        <f>(J82+K82+L82)*M82</f>
        <v>147.89</v>
      </c>
      <c r="O82" s="168" t="s">
        <v>270</v>
      </c>
      <c r="P82" s="197">
        <v>45901</v>
      </c>
      <c r="Q82" s="161">
        <v>1</v>
      </c>
    </row>
    <row r="83" s="140" customFormat="1" ht="23" customHeight="1" spans="1:17">
      <c r="A83" s="160">
        <v>78</v>
      </c>
      <c r="B83" s="161"/>
      <c r="C83" s="168" t="s">
        <v>274</v>
      </c>
      <c r="D83" s="161" t="s">
        <v>23</v>
      </c>
      <c r="E83" s="168" t="s">
        <v>275</v>
      </c>
      <c r="F83" s="204" t="s">
        <v>276</v>
      </c>
      <c r="G83" s="161" t="s">
        <v>26</v>
      </c>
      <c r="H83" s="161">
        <v>4999</v>
      </c>
      <c r="I83" s="161">
        <v>8332</v>
      </c>
      <c r="J83" s="194">
        <f>ROUND(H83*0.08,2)</f>
        <v>399.92</v>
      </c>
      <c r="K83" s="194">
        <f>ROUND(I83*0.02,2)</f>
        <v>166.64</v>
      </c>
      <c r="L83" s="166">
        <f>ROUND(H83*0.005,2)</f>
        <v>25</v>
      </c>
      <c r="M83" s="195">
        <v>0.25</v>
      </c>
      <c r="N83" s="194">
        <f>(J83+K83+L83)*M83</f>
        <v>147.89</v>
      </c>
      <c r="O83" s="168" t="s">
        <v>270</v>
      </c>
      <c r="P83" s="197">
        <v>45901</v>
      </c>
      <c r="Q83" s="161">
        <v>1</v>
      </c>
    </row>
    <row r="84" s="140" customFormat="1" ht="23" customHeight="1" spans="1:17">
      <c r="A84" s="160">
        <v>79</v>
      </c>
      <c r="B84" s="161"/>
      <c r="C84" s="168" t="s">
        <v>277</v>
      </c>
      <c r="D84" s="161" t="s">
        <v>23</v>
      </c>
      <c r="E84" s="168" t="s">
        <v>278</v>
      </c>
      <c r="F84" s="204" t="s">
        <v>279</v>
      </c>
      <c r="G84" s="161" t="s">
        <v>26</v>
      </c>
      <c r="H84" s="161">
        <v>4999</v>
      </c>
      <c r="I84" s="161">
        <v>8332</v>
      </c>
      <c r="J84" s="194">
        <f>ROUND(H84*0.08,2)</f>
        <v>399.92</v>
      </c>
      <c r="K84" s="194">
        <f>ROUND(I84*0.02,2)</f>
        <v>166.64</v>
      </c>
      <c r="L84" s="166">
        <f>ROUND(H84*0.005,2)</f>
        <v>25</v>
      </c>
      <c r="M84" s="195">
        <v>0.25</v>
      </c>
      <c r="N84" s="194">
        <f>(J84+K84+L84)*M84</f>
        <v>147.89</v>
      </c>
      <c r="O84" s="168" t="s">
        <v>270</v>
      </c>
      <c r="P84" s="197">
        <v>45901</v>
      </c>
      <c r="Q84" s="161">
        <v>1</v>
      </c>
    </row>
    <row r="85" s="140" customFormat="1" ht="23" customHeight="1" spans="1:17">
      <c r="A85" s="160">
        <v>80</v>
      </c>
      <c r="B85" s="161"/>
      <c r="C85" s="168" t="s">
        <v>280</v>
      </c>
      <c r="D85" s="161" t="s">
        <v>23</v>
      </c>
      <c r="E85" s="168" t="s">
        <v>281</v>
      </c>
      <c r="F85" s="204" t="s">
        <v>282</v>
      </c>
      <c r="G85" s="161" t="s">
        <v>26</v>
      </c>
      <c r="H85" s="161">
        <v>4999</v>
      </c>
      <c r="I85" s="161">
        <v>8332</v>
      </c>
      <c r="J85" s="194">
        <f>ROUND(H85*0.08,2)</f>
        <v>399.92</v>
      </c>
      <c r="K85" s="194">
        <f>ROUND(I85*0.02,2)</f>
        <v>166.64</v>
      </c>
      <c r="L85" s="166">
        <f>ROUND(H85*0.005,2)</f>
        <v>25</v>
      </c>
      <c r="M85" s="195">
        <v>0.25</v>
      </c>
      <c r="N85" s="194">
        <f>(J85+K85+L85)*M85</f>
        <v>147.89</v>
      </c>
      <c r="O85" s="168" t="s">
        <v>270</v>
      </c>
      <c r="P85" s="197">
        <v>45901</v>
      </c>
      <c r="Q85" s="161">
        <v>1</v>
      </c>
    </row>
    <row r="86" s="140" customFormat="1" ht="26" customHeight="1" spans="1:17">
      <c r="A86" s="160">
        <v>81</v>
      </c>
      <c r="B86" s="164" t="s">
        <v>283</v>
      </c>
      <c r="C86" s="164" t="s">
        <v>284</v>
      </c>
      <c r="D86" s="164" t="s">
        <v>23</v>
      </c>
      <c r="E86" s="205" t="s">
        <v>285</v>
      </c>
      <c r="F86" s="205" t="s">
        <v>286</v>
      </c>
      <c r="G86" s="164" t="s">
        <v>26</v>
      </c>
      <c r="H86" s="206">
        <v>7684</v>
      </c>
      <c r="I86" s="206">
        <v>8448</v>
      </c>
      <c r="J86" s="214">
        <v>614.72</v>
      </c>
      <c r="K86" s="214">
        <v>168.96</v>
      </c>
      <c r="L86" s="214">
        <v>38.42</v>
      </c>
      <c r="M86" s="215">
        <v>0.25</v>
      </c>
      <c r="N86" s="214">
        <v>205.52</v>
      </c>
      <c r="O86" s="197">
        <v>45931</v>
      </c>
      <c r="P86" s="197">
        <v>45931</v>
      </c>
      <c r="Q86" s="164">
        <f>DATEDIF(O86,P86,"M")+1</f>
        <v>1</v>
      </c>
    </row>
    <row r="87" s="140" customFormat="1" ht="26" customHeight="1" spans="1:17">
      <c r="A87" s="160">
        <v>82</v>
      </c>
      <c r="B87" s="161" t="s">
        <v>287</v>
      </c>
      <c r="C87" s="168" t="s">
        <v>288</v>
      </c>
      <c r="D87" s="161" t="s">
        <v>23</v>
      </c>
      <c r="E87" s="161" t="s">
        <v>289</v>
      </c>
      <c r="F87" s="161" t="s">
        <v>290</v>
      </c>
      <c r="G87" s="161" t="s">
        <v>26</v>
      </c>
      <c r="H87" s="166">
        <v>5069</v>
      </c>
      <c r="I87" s="166">
        <v>8448</v>
      </c>
      <c r="J87" s="194">
        <v>405.52</v>
      </c>
      <c r="K87" s="194">
        <v>168.96</v>
      </c>
      <c r="L87" s="194">
        <v>25.35</v>
      </c>
      <c r="M87" s="195">
        <v>0.25</v>
      </c>
      <c r="N87" s="194">
        <v>149.95</v>
      </c>
      <c r="O87" s="197">
        <v>45931</v>
      </c>
      <c r="P87" s="197">
        <v>45931</v>
      </c>
      <c r="Q87" s="161">
        <v>1</v>
      </c>
    </row>
    <row r="88" s="140" customFormat="1" ht="23" customHeight="1" spans="1:17">
      <c r="A88" s="160">
        <v>83</v>
      </c>
      <c r="B88" s="161" t="s">
        <v>291</v>
      </c>
      <c r="C88" s="168" t="s">
        <v>292</v>
      </c>
      <c r="D88" s="161" t="s">
        <v>40</v>
      </c>
      <c r="E88" s="161" t="s">
        <v>293</v>
      </c>
      <c r="F88" s="161" t="s">
        <v>294</v>
      </c>
      <c r="G88" s="161" t="s">
        <v>26</v>
      </c>
      <c r="H88" s="166">
        <v>5069</v>
      </c>
      <c r="I88" s="166">
        <v>8448</v>
      </c>
      <c r="J88" s="194">
        <v>405.52</v>
      </c>
      <c r="K88" s="194">
        <v>168.96</v>
      </c>
      <c r="L88" s="194">
        <v>25.35</v>
      </c>
      <c r="M88" s="195">
        <v>0.25</v>
      </c>
      <c r="N88" s="194">
        <v>149.95</v>
      </c>
      <c r="O88" s="197">
        <v>45931</v>
      </c>
      <c r="P88" s="197">
        <v>45931</v>
      </c>
      <c r="Q88" s="161">
        <v>1</v>
      </c>
    </row>
    <row r="89" s="140" customFormat="1" ht="23" customHeight="1" spans="1:17">
      <c r="A89" s="160">
        <v>84</v>
      </c>
      <c r="B89" s="161"/>
      <c r="C89" s="168" t="s">
        <v>295</v>
      </c>
      <c r="D89" s="161" t="s">
        <v>40</v>
      </c>
      <c r="E89" s="168" t="s">
        <v>296</v>
      </c>
      <c r="F89" s="169" t="s">
        <v>297</v>
      </c>
      <c r="G89" s="161" t="s">
        <v>26</v>
      </c>
      <c r="H89" s="166">
        <v>5069</v>
      </c>
      <c r="I89" s="166">
        <v>8448</v>
      </c>
      <c r="J89" s="194">
        <v>405.52</v>
      </c>
      <c r="K89" s="194">
        <v>168.96</v>
      </c>
      <c r="L89" s="194">
        <v>25.35</v>
      </c>
      <c r="M89" s="195">
        <v>0.25</v>
      </c>
      <c r="N89" s="194">
        <v>149.95</v>
      </c>
      <c r="O89" s="197">
        <v>45931</v>
      </c>
      <c r="P89" s="197">
        <v>45931</v>
      </c>
      <c r="Q89" s="161">
        <v>1</v>
      </c>
    </row>
    <row r="90" s="140" customFormat="1" ht="26" customHeight="1" spans="1:17">
      <c r="A90" s="160">
        <v>85</v>
      </c>
      <c r="B90" s="161" t="s">
        <v>298</v>
      </c>
      <c r="C90" s="168" t="s">
        <v>299</v>
      </c>
      <c r="D90" s="161" t="s">
        <v>40</v>
      </c>
      <c r="E90" s="161" t="s">
        <v>300</v>
      </c>
      <c r="F90" s="161" t="s">
        <v>301</v>
      </c>
      <c r="G90" s="161" t="s">
        <v>26</v>
      </c>
      <c r="H90" s="161">
        <v>5069</v>
      </c>
      <c r="I90" s="161">
        <v>8448</v>
      </c>
      <c r="J90" s="194">
        <v>405.52</v>
      </c>
      <c r="K90" s="161">
        <v>168.96</v>
      </c>
      <c r="L90" s="161">
        <v>25.35</v>
      </c>
      <c r="M90" s="195">
        <v>0.25</v>
      </c>
      <c r="N90" s="194">
        <v>149.95</v>
      </c>
      <c r="O90" s="197">
        <v>45931</v>
      </c>
      <c r="P90" s="197">
        <v>45931</v>
      </c>
      <c r="Q90" s="161">
        <v>1</v>
      </c>
    </row>
    <row r="91" s="140" customFormat="1" ht="23" customHeight="1" spans="1:17">
      <c r="A91" s="160">
        <v>86</v>
      </c>
      <c r="B91" s="161" t="s">
        <v>302</v>
      </c>
      <c r="C91" s="161" t="s">
        <v>303</v>
      </c>
      <c r="D91" s="161" t="s">
        <v>23</v>
      </c>
      <c r="E91" s="168" t="s">
        <v>304</v>
      </c>
      <c r="F91" s="161" t="s">
        <v>305</v>
      </c>
      <c r="G91" s="161" t="s">
        <v>26</v>
      </c>
      <c r="H91" s="166">
        <v>5069</v>
      </c>
      <c r="I91" s="166">
        <v>8448</v>
      </c>
      <c r="J91" s="194">
        <v>405.52</v>
      </c>
      <c r="K91" s="194">
        <v>168.96</v>
      </c>
      <c r="L91" s="168">
        <v>25.35</v>
      </c>
      <c r="M91" s="195">
        <v>0.25</v>
      </c>
      <c r="N91" s="194">
        <v>149.95</v>
      </c>
      <c r="O91" s="197">
        <v>45931</v>
      </c>
      <c r="P91" s="197">
        <v>45931</v>
      </c>
      <c r="Q91" s="161">
        <v>1</v>
      </c>
    </row>
    <row r="92" s="140" customFormat="1" ht="23" customHeight="1" spans="1:17">
      <c r="A92" s="160">
        <v>87</v>
      </c>
      <c r="B92" s="161"/>
      <c r="C92" s="161" t="s">
        <v>306</v>
      </c>
      <c r="D92" s="161" t="s">
        <v>23</v>
      </c>
      <c r="E92" s="168" t="s">
        <v>307</v>
      </c>
      <c r="F92" s="161" t="s">
        <v>308</v>
      </c>
      <c r="G92" s="161" t="s">
        <v>26</v>
      </c>
      <c r="H92" s="166">
        <v>5069</v>
      </c>
      <c r="I92" s="166">
        <v>8448</v>
      </c>
      <c r="J92" s="194">
        <v>405.52</v>
      </c>
      <c r="K92" s="194">
        <v>168.96</v>
      </c>
      <c r="L92" s="168">
        <v>25.35</v>
      </c>
      <c r="M92" s="195">
        <v>0.25</v>
      </c>
      <c r="N92" s="194">
        <v>149.95</v>
      </c>
      <c r="O92" s="197">
        <v>45931</v>
      </c>
      <c r="P92" s="197">
        <v>45931</v>
      </c>
      <c r="Q92" s="161">
        <v>1</v>
      </c>
    </row>
    <row r="93" s="140" customFormat="1" ht="23" customHeight="1" spans="1:17">
      <c r="A93" s="160">
        <v>88</v>
      </c>
      <c r="B93" s="161"/>
      <c r="C93" s="161" t="s">
        <v>309</v>
      </c>
      <c r="D93" s="161" t="s">
        <v>23</v>
      </c>
      <c r="E93" s="168" t="s">
        <v>310</v>
      </c>
      <c r="F93" s="161" t="s">
        <v>311</v>
      </c>
      <c r="G93" s="161" t="s">
        <v>26</v>
      </c>
      <c r="H93" s="161">
        <v>5069</v>
      </c>
      <c r="I93" s="161">
        <v>8448</v>
      </c>
      <c r="J93" s="194">
        <v>405.52</v>
      </c>
      <c r="K93" s="161">
        <v>168.96</v>
      </c>
      <c r="L93" s="161">
        <v>25.35</v>
      </c>
      <c r="M93" s="195">
        <v>0.25</v>
      </c>
      <c r="N93" s="194">
        <v>149.95</v>
      </c>
      <c r="O93" s="197">
        <v>45931</v>
      </c>
      <c r="P93" s="197">
        <v>45931</v>
      </c>
      <c r="Q93" s="161">
        <v>1</v>
      </c>
    </row>
    <row r="94" s="140" customFormat="1" ht="26" customHeight="1" spans="1:17">
      <c r="A94" s="160">
        <v>89</v>
      </c>
      <c r="B94" s="161" t="s">
        <v>312</v>
      </c>
      <c r="C94" s="161" t="s">
        <v>313</v>
      </c>
      <c r="D94" s="161" t="s">
        <v>23</v>
      </c>
      <c r="E94" s="168" t="s">
        <v>314</v>
      </c>
      <c r="F94" s="161" t="s">
        <v>311</v>
      </c>
      <c r="G94" s="161" t="s">
        <v>26</v>
      </c>
      <c r="H94" s="166">
        <v>5069</v>
      </c>
      <c r="I94" s="166">
        <v>8448</v>
      </c>
      <c r="J94" s="194">
        <v>405.52</v>
      </c>
      <c r="K94" s="194">
        <v>168.96</v>
      </c>
      <c r="L94" s="168">
        <v>25.35</v>
      </c>
      <c r="M94" s="195">
        <v>0.25</v>
      </c>
      <c r="N94" s="194">
        <v>149.95</v>
      </c>
      <c r="O94" s="197">
        <v>45931</v>
      </c>
      <c r="P94" s="197">
        <v>45931</v>
      </c>
      <c r="Q94" s="161">
        <v>1</v>
      </c>
    </row>
    <row r="95" s="140" customFormat="1" ht="26" customHeight="1" spans="1:17">
      <c r="A95" s="160">
        <v>90</v>
      </c>
      <c r="B95" s="161" t="s">
        <v>315</v>
      </c>
      <c r="C95" s="161" t="s">
        <v>316</v>
      </c>
      <c r="D95" s="161" t="s">
        <v>23</v>
      </c>
      <c r="E95" s="168" t="s">
        <v>317</v>
      </c>
      <c r="F95" s="161" t="s">
        <v>318</v>
      </c>
      <c r="G95" s="161" t="s">
        <v>26</v>
      </c>
      <c r="H95" s="161">
        <v>5069</v>
      </c>
      <c r="I95" s="161">
        <v>8448</v>
      </c>
      <c r="J95" s="194">
        <v>405.52</v>
      </c>
      <c r="K95" s="194">
        <v>168.96</v>
      </c>
      <c r="L95" s="168">
        <v>25.35</v>
      </c>
      <c r="M95" s="195">
        <v>0.25</v>
      </c>
      <c r="N95" s="194">
        <v>149.95</v>
      </c>
      <c r="O95" s="197">
        <v>45931</v>
      </c>
      <c r="P95" s="197">
        <v>45931</v>
      </c>
      <c r="Q95" s="161">
        <v>1</v>
      </c>
    </row>
    <row r="96" s="140" customFormat="1" ht="23" customHeight="1" spans="1:17">
      <c r="A96" s="160">
        <v>91</v>
      </c>
      <c r="B96" s="161" t="s">
        <v>319</v>
      </c>
      <c r="C96" s="161" t="s">
        <v>320</v>
      </c>
      <c r="D96" s="161" t="s">
        <v>23</v>
      </c>
      <c r="E96" s="168" t="s">
        <v>321</v>
      </c>
      <c r="F96" s="161" t="s">
        <v>322</v>
      </c>
      <c r="G96" s="161" t="s">
        <v>26</v>
      </c>
      <c r="H96" s="161">
        <v>5069</v>
      </c>
      <c r="I96" s="161">
        <v>8448</v>
      </c>
      <c r="J96" s="194">
        <v>405.52</v>
      </c>
      <c r="K96" s="194">
        <v>168.96</v>
      </c>
      <c r="L96" s="168">
        <v>25.35</v>
      </c>
      <c r="M96" s="195">
        <v>0.25</v>
      </c>
      <c r="N96" s="194">
        <v>149.95</v>
      </c>
      <c r="O96" s="197">
        <v>45931</v>
      </c>
      <c r="P96" s="197">
        <v>45931</v>
      </c>
      <c r="Q96" s="161">
        <v>1</v>
      </c>
    </row>
    <row r="97" s="140" customFormat="1" ht="23" customHeight="1" spans="1:17">
      <c r="A97" s="160">
        <v>92</v>
      </c>
      <c r="B97" s="161"/>
      <c r="C97" s="161" t="s">
        <v>323</v>
      </c>
      <c r="D97" s="161" t="s">
        <v>23</v>
      </c>
      <c r="E97" s="168" t="s">
        <v>324</v>
      </c>
      <c r="F97" s="161" t="s">
        <v>325</v>
      </c>
      <c r="G97" s="161" t="s">
        <v>26</v>
      </c>
      <c r="H97" s="161">
        <v>5069</v>
      </c>
      <c r="I97" s="161">
        <v>8448</v>
      </c>
      <c r="J97" s="194">
        <v>405.52</v>
      </c>
      <c r="K97" s="194">
        <v>168.96</v>
      </c>
      <c r="L97" s="168">
        <v>25.35</v>
      </c>
      <c r="M97" s="195">
        <v>0.25</v>
      </c>
      <c r="N97" s="194">
        <v>149.95</v>
      </c>
      <c r="O97" s="197">
        <v>45931</v>
      </c>
      <c r="P97" s="197">
        <v>45931</v>
      </c>
      <c r="Q97" s="161">
        <v>1</v>
      </c>
    </row>
    <row r="98" s="140" customFormat="1" ht="40" customHeight="1" spans="1:17">
      <c r="A98" s="160">
        <v>93</v>
      </c>
      <c r="B98" s="161" t="s">
        <v>326</v>
      </c>
      <c r="C98" s="161" t="s">
        <v>327</v>
      </c>
      <c r="D98" s="161" t="s">
        <v>23</v>
      </c>
      <c r="E98" s="168" t="s">
        <v>328</v>
      </c>
      <c r="F98" s="161" t="s">
        <v>329</v>
      </c>
      <c r="G98" s="161" t="s">
        <v>26</v>
      </c>
      <c r="H98" s="161">
        <v>5069</v>
      </c>
      <c r="I98" s="161">
        <v>8448</v>
      </c>
      <c r="J98" s="194">
        <v>405.52</v>
      </c>
      <c r="K98" s="194">
        <v>168.96</v>
      </c>
      <c r="L98" s="168">
        <v>25.35</v>
      </c>
      <c r="M98" s="195">
        <v>0.25</v>
      </c>
      <c r="N98" s="194">
        <v>149.95</v>
      </c>
      <c r="O98" s="197">
        <v>45931</v>
      </c>
      <c r="P98" s="197">
        <v>45931</v>
      </c>
      <c r="Q98" s="161">
        <v>1</v>
      </c>
    </row>
    <row r="99" s="140" customFormat="1" ht="23" customHeight="1" spans="1:17">
      <c r="A99" s="160">
        <v>94</v>
      </c>
      <c r="B99" s="161" t="s">
        <v>330</v>
      </c>
      <c r="C99" s="161" t="s">
        <v>331</v>
      </c>
      <c r="D99" s="161" t="s">
        <v>40</v>
      </c>
      <c r="E99" s="168" t="s">
        <v>332</v>
      </c>
      <c r="F99" s="161" t="s">
        <v>333</v>
      </c>
      <c r="G99" s="161" t="s">
        <v>26</v>
      </c>
      <c r="H99" s="161">
        <v>5069</v>
      </c>
      <c r="I99" s="161">
        <v>8448</v>
      </c>
      <c r="J99" s="194">
        <v>405.52</v>
      </c>
      <c r="K99" s="194">
        <v>168.96</v>
      </c>
      <c r="L99" s="168">
        <v>25.35</v>
      </c>
      <c r="M99" s="195">
        <v>0.25</v>
      </c>
      <c r="N99" s="194">
        <v>149.95</v>
      </c>
      <c r="O99" s="197">
        <v>45931</v>
      </c>
      <c r="P99" s="197">
        <v>45931</v>
      </c>
      <c r="Q99" s="161">
        <v>1</v>
      </c>
    </row>
    <row r="100" s="140" customFormat="1" ht="23" customHeight="1" spans="1:17">
      <c r="A100" s="160">
        <v>95</v>
      </c>
      <c r="B100" s="161"/>
      <c r="C100" s="161" t="s">
        <v>334</v>
      </c>
      <c r="D100" s="161" t="s">
        <v>40</v>
      </c>
      <c r="E100" s="168" t="s">
        <v>335</v>
      </c>
      <c r="F100" s="161" t="s">
        <v>336</v>
      </c>
      <c r="G100" s="161" t="s">
        <v>26</v>
      </c>
      <c r="H100" s="161">
        <v>5069</v>
      </c>
      <c r="I100" s="161">
        <v>8448</v>
      </c>
      <c r="J100" s="194">
        <v>405.52</v>
      </c>
      <c r="K100" s="194">
        <v>168.96</v>
      </c>
      <c r="L100" s="168">
        <v>25.35</v>
      </c>
      <c r="M100" s="195">
        <v>0.25</v>
      </c>
      <c r="N100" s="194">
        <v>149.95</v>
      </c>
      <c r="O100" s="197">
        <v>45931</v>
      </c>
      <c r="P100" s="197">
        <v>45931</v>
      </c>
      <c r="Q100" s="161">
        <v>1</v>
      </c>
    </row>
    <row r="101" s="140" customFormat="1" ht="23" customHeight="1" spans="1:17">
      <c r="A101" s="160">
        <v>96</v>
      </c>
      <c r="B101" s="161"/>
      <c r="C101" s="161" t="s">
        <v>337</v>
      </c>
      <c r="D101" s="161" t="s">
        <v>23</v>
      </c>
      <c r="E101" s="168" t="s">
        <v>338</v>
      </c>
      <c r="F101" s="161" t="s">
        <v>339</v>
      </c>
      <c r="G101" s="161" t="s">
        <v>26</v>
      </c>
      <c r="H101" s="161">
        <v>5069</v>
      </c>
      <c r="I101" s="161">
        <v>8448</v>
      </c>
      <c r="J101" s="194">
        <v>405.52</v>
      </c>
      <c r="K101" s="194">
        <v>168.96</v>
      </c>
      <c r="L101" s="168">
        <v>25.35</v>
      </c>
      <c r="M101" s="195">
        <v>0.25</v>
      </c>
      <c r="N101" s="194">
        <v>149.95</v>
      </c>
      <c r="O101" s="197">
        <v>45931</v>
      </c>
      <c r="P101" s="197">
        <v>45931</v>
      </c>
      <c r="Q101" s="161">
        <v>1</v>
      </c>
    </row>
    <row r="102" s="140" customFormat="1" ht="23" customHeight="1" spans="1:17">
      <c r="A102" s="160">
        <v>97</v>
      </c>
      <c r="B102" s="161"/>
      <c r="C102" s="161" t="s">
        <v>340</v>
      </c>
      <c r="D102" s="161" t="s">
        <v>40</v>
      </c>
      <c r="E102" s="168" t="s">
        <v>341</v>
      </c>
      <c r="F102" s="161" t="s">
        <v>342</v>
      </c>
      <c r="G102" s="161" t="s">
        <v>26</v>
      </c>
      <c r="H102" s="161">
        <v>5069</v>
      </c>
      <c r="I102" s="161">
        <v>8448</v>
      </c>
      <c r="J102" s="194">
        <v>405.52</v>
      </c>
      <c r="K102" s="194">
        <v>168.96</v>
      </c>
      <c r="L102" s="168">
        <v>25.35</v>
      </c>
      <c r="M102" s="195">
        <v>0.25</v>
      </c>
      <c r="N102" s="194">
        <v>149.95</v>
      </c>
      <c r="O102" s="197">
        <v>45931</v>
      </c>
      <c r="P102" s="197">
        <v>45931</v>
      </c>
      <c r="Q102" s="161">
        <v>1</v>
      </c>
    </row>
    <row r="103" s="140" customFormat="1" ht="23" customHeight="1" spans="1:17">
      <c r="A103" s="160">
        <v>98</v>
      </c>
      <c r="B103" s="161"/>
      <c r="C103" s="161" t="s">
        <v>343</v>
      </c>
      <c r="D103" s="161" t="s">
        <v>23</v>
      </c>
      <c r="E103" s="168" t="s">
        <v>344</v>
      </c>
      <c r="F103" s="161" t="s">
        <v>345</v>
      </c>
      <c r="G103" s="161" t="s">
        <v>26</v>
      </c>
      <c r="H103" s="161">
        <v>5069</v>
      </c>
      <c r="I103" s="161">
        <v>8448</v>
      </c>
      <c r="J103" s="194">
        <v>405.52</v>
      </c>
      <c r="K103" s="194">
        <v>168.96</v>
      </c>
      <c r="L103" s="168">
        <v>25.35</v>
      </c>
      <c r="M103" s="195">
        <v>0.25</v>
      </c>
      <c r="N103" s="194">
        <v>149.95</v>
      </c>
      <c r="O103" s="197">
        <v>45931</v>
      </c>
      <c r="P103" s="197">
        <v>45931</v>
      </c>
      <c r="Q103" s="161">
        <v>1</v>
      </c>
    </row>
    <row r="104" s="140" customFormat="1" ht="23" customHeight="1" spans="1:17">
      <c r="A104" s="160">
        <v>99</v>
      </c>
      <c r="B104" s="161"/>
      <c r="C104" s="161" t="s">
        <v>346</v>
      </c>
      <c r="D104" s="161" t="s">
        <v>23</v>
      </c>
      <c r="E104" s="168" t="s">
        <v>347</v>
      </c>
      <c r="F104" s="161" t="s">
        <v>348</v>
      </c>
      <c r="G104" s="161" t="s">
        <v>26</v>
      </c>
      <c r="H104" s="161">
        <v>5069</v>
      </c>
      <c r="I104" s="161">
        <v>8448</v>
      </c>
      <c r="J104" s="194">
        <v>405.52</v>
      </c>
      <c r="K104" s="194">
        <v>168.96</v>
      </c>
      <c r="L104" s="168">
        <v>25.35</v>
      </c>
      <c r="M104" s="195">
        <v>0.25</v>
      </c>
      <c r="N104" s="194">
        <v>149.95</v>
      </c>
      <c r="O104" s="197">
        <v>45931</v>
      </c>
      <c r="P104" s="197">
        <v>45931</v>
      </c>
      <c r="Q104" s="161">
        <v>1</v>
      </c>
    </row>
    <row r="105" s="140" customFormat="1" ht="23" customHeight="1" spans="1:17">
      <c r="A105" s="160">
        <v>100</v>
      </c>
      <c r="B105" s="161"/>
      <c r="C105" s="161" t="s">
        <v>349</v>
      </c>
      <c r="D105" s="161" t="s">
        <v>23</v>
      </c>
      <c r="E105" s="168" t="s">
        <v>350</v>
      </c>
      <c r="F105" s="161" t="s">
        <v>351</v>
      </c>
      <c r="G105" s="161" t="s">
        <v>26</v>
      </c>
      <c r="H105" s="161">
        <v>5069</v>
      </c>
      <c r="I105" s="161">
        <v>8448</v>
      </c>
      <c r="J105" s="194">
        <v>405.52</v>
      </c>
      <c r="K105" s="194">
        <v>168.96</v>
      </c>
      <c r="L105" s="168">
        <v>25.35</v>
      </c>
      <c r="M105" s="195">
        <v>0.25</v>
      </c>
      <c r="N105" s="194">
        <v>149.95</v>
      </c>
      <c r="O105" s="197">
        <v>45931</v>
      </c>
      <c r="P105" s="197">
        <v>45931</v>
      </c>
      <c r="Q105" s="161">
        <v>1</v>
      </c>
    </row>
    <row r="106" s="140" customFormat="1" ht="23" customHeight="1" spans="1:17">
      <c r="A106" s="160">
        <v>101</v>
      </c>
      <c r="B106" s="161"/>
      <c r="C106" s="161" t="s">
        <v>352</v>
      </c>
      <c r="D106" s="161" t="s">
        <v>23</v>
      </c>
      <c r="E106" s="168" t="s">
        <v>353</v>
      </c>
      <c r="F106" s="161" t="s">
        <v>354</v>
      </c>
      <c r="G106" s="161" t="s">
        <v>26</v>
      </c>
      <c r="H106" s="161">
        <v>5069</v>
      </c>
      <c r="I106" s="161">
        <v>8448</v>
      </c>
      <c r="J106" s="194">
        <v>405.52</v>
      </c>
      <c r="K106" s="194">
        <v>168.96</v>
      </c>
      <c r="L106" s="168">
        <v>25.35</v>
      </c>
      <c r="M106" s="195">
        <v>0.25</v>
      </c>
      <c r="N106" s="194">
        <v>149.95</v>
      </c>
      <c r="O106" s="197">
        <v>45931</v>
      </c>
      <c r="P106" s="197">
        <v>45931</v>
      </c>
      <c r="Q106" s="161">
        <v>1</v>
      </c>
    </row>
    <row r="107" s="140" customFormat="1" ht="23" customHeight="1" spans="1:17">
      <c r="A107" s="160">
        <v>102</v>
      </c>
      <c r="B107" s="161"/>
      <c r="C107" s="161" t="s">
        <v>355</v>
      </c>
      <c r="D107" s="161" t="s">
        <v>23</v>
      </c>
      <c r="E107" s="168" t="s">
        <v>356</v>
      </c>
      <c r="F107" s="161" t="s">
        <v>357</v>
      </c>
      <c r="G107" s="161" t="s">
        <v>26</v>
      </c>
      <c r="H107" s="161">
        <v>5069</v>
      </c>
      <c r="I107" s="161">
        <v>8448</v>
      </c>
      <c r="J107" s="194">
        <v>405.52</v>
      </c>
      <c r="K107" s="194">
        <v>168.96</v>
      </c>
      <c r="L107" s="168">
        <v>25.35</v>
      </c>
      <c r="M107" s="195">
        <v>0.25</v>
      </c>
      <c r="N107" s="194">
        <v>149.95</v>
      </c>
      <c r="O107" s="197">
        <v>45931</v>
      </c>
      <c r="P107" s="197">
        <v>45931</v>
      </c>
      <c r="Q107" s="161">
        <v>1</v>
      </c>
    </row>
    <row r="108" s="140" customFormat="1" ht="23" customHeight="1" spans="1:17">
      <c r="A108" s="160">
        <v>103</v>
      </c>
      <c r="B108" s="161" t="s">
        <v>358</v>
      </c>
      <c r="C108" s="168" t="s">
        <v>359</v>
      </c>
      <c r="D108" s="168" t="s">
        <v>40</v>
      </c>
      <c r="E108" s="168" t="s">
        <v>360</v>
      </c>
      <c r="F108" s="207" t="s">
        <v>361</v>
      </c>
      <c r="G108" s="161" t="s">
        <v>26</v>
      </c>
      <c r="H108" s="161">
        <v>5069</v>
      </c>
      <c r="I108" s="161">
        <v>8448</v>
      </c>
      <c r="J108" s="194">
        <v>405.52</v>
      </c>
      <c r="K108" s="194">
        <v>168.96</v>
      </c>
      <c r="L108" s="168">
        <v>25.35</v>
      </c>
      <c r="M108" s="195">
        <v>0.25</v>
      </c>
      <c r="N108" s="194">
        <v>149.95</v>
      </c>
      <c r="O108" s="197">
        <v>45931</v>
      </c>
      <c r="P108" s="197">
        <v>45931</v>
      </c>
      <c r="Q108" s="161">
        <v>1</v>
      </c>
    </row>
    <row r="109" s="140" customFormat="1" ht="23" customHeight="1" spans="1:17">
      <c r="A109" s="160">
        <v>104</v>
      </c>
      <c r="B109" s="161"/>
      <c r="C109" s="168" t="s">
        <v>362</v>
      </c>
      <c r="D109" s="168" t="s">
        <v>40</v>
      </c>
      <c r="E109" s="168" t="s">
        <v>363</v>
      </c>
      <c r="F109" s="208" t="s">
        <v>364</v>
      </c>
      <c r="G109" s="161" t="s">
        <v>26</v>
      </c>
      <c r="H109" s="161">
        <v>5069</v>
      </c>
      <c r="I109" s="161">
        <v>8448</v>
      </c>
      <c r="J109" s="194">
        <v>405.52</v>
      </c>
      <c r="K109" s="194">
        <v>168.96</v>
      </c>
      <c r="L109" s="168">
        <v>25.35</v>
      </c>
      <c r="M109" s="195">
        <v>0.25</v>
      </c>
      <c r="N109" s="194">
        <v>149.95</v>
      </c>
      <c r="O109" s="197">
        <v>45931</v>
      </c>
      <c r="P109" s="197">
        <v>45931</v>
      </c>
      <c r="Q109" s="161">
        <v>1</v>
      </c>
    </row>
    <row r="110" s="140" customFormat="1" ht="23" customHeight="1" spans="1:17">
      <c r="A110" s="160">
        <v>105</v>
      </c>
      <c r="B110" s="161"/>
      <c r="C110" s="168" t="s">
        <v>365</v>
      </c>
      <c r="D110" s="168" t="s">
        <v>23</v>
      </c>
      <c r="E110" s="168" t="s">
        <v>366</v>
      </c>
      <c r="F110" s="208" t="s">
        <v>367</v>
      </c>
      <c r="G110" s="161" t="s">
        <v>26</v>
      </c>
      <c r="H110" s="161">
        <v>5069</v>
      </c>
      <c r="I110" s="161">
        <v>8448</v>
      </c>
      <c r="J110" s="194">
        <v>405.52</v>
      </c>
      <c r="K110" s="194">
        <v>168.96</v>
      </c>
      <c r="L110" s="168">
        <v>25.35</v>
      </c>
      <c r="M110" s="195">
        <v>0.25</v>
      </c>
      <c r="N110" s="194">
        <v>149.95</v>
      </c>
      <c r="O110" s="197">
        <v>45931</v>
      </c>
      <c r="P110" s="197">
        <v>45931</v>
      </c>
      <c r="Q110" s="161">
        <v>1</v>
      </c>
    </row>
    <row r="111" s="140" customFormat="1" ht="23" customHeight="1" spans="1:17">
      <c r="A111" s="160">
        <v>106</v>
      </c>
      <c r="B111" s="161"/>
      <c r="C111" s="194" t="s">
        <v>368</v>
      </c>
      <c r="D111" s="194" t="s">
        <v>40</v>
      </c>
      <c r="E111" s="209" t="s">
        <v>369</v>
      </c>
      <c r="F111" s="210" t="s">
        <v>370</v>
      </c>
      <c r="G111" s="161" t="s">
        <v>26</v>
      </c>
      <c r="H111" s="161">
        <v>5069</v>
      </c>
      <c r="I111" s="161">
        <v>8448</v>
      </c>
      <c r="J111" s="194">
        <v>405.52</v>
      </c>
      <c r="K111" s="194">
        <v>168.96</v>
      </c>
      <c r="L111" s="168">
        <v>25.35</v>
      </c>
      <c r="M111" s="195">
        <v>0.25</v>
      </c>
      <c r="N111" s="194">
        <v>149.95</v>
      </c>
      <c r="O111" s="197">
        <v>45931</v>
      </c>
      <c r="P111" s="197">
        <v>45931</v>
      </c>
      <c r="Q111" s="161">
        <v>1</v>
      </c>
    </row>
    <row r="112" s="140" customFormat="1" ht="23" customHeight="1" spans="1:17">
      <c r="A112" s="160">
        <v>107</v>
      </c>
      <c r="B112" s="161"/>
      <c r="C112" s="161" t="s">
        <v>371</v>
      </c>
      <c r="D112" s="161" t="s">
        <v>40</v>
      </c>
      <c r="E112" s="168" t="s">
        <v>372</v>
      </c>
      <c r="F112" s="161" t="s">
        <v>373</v>
      </c>
      <c r="G112" s="161" t="s">
        <v>26</v>
      </c>
      <c r="H112" s="161">
        <v>5069</v>
      </c>
      <c r="I112" s="161">
        <v>8448</v>
      </c>
      <c r="J112" s="194">
        <v>405.52</v>
      </c>
      <c r="K112" s="194">
        <v>168.96</v>
      </c>
      <c r="L112" s="168">
        <v>25.35</v>
      </c>
      <c r="M112" s="195">
        <v>0.25</v>
      </c>
      <c r="N112" s="194">
        <v>149.95</v>
      </c>
      <c r="O112" s="197">
        <v>45931</v>
      </c>
      <c r="P112" s="197">
        <v>45931</v>
      </c>
      <c r="Q112" s="161">
        <v>1</v>
      </c>
    </row>
    <row r="113" s="140" customFormat="1" ht="23" customHeight="1" spans="1:17">
      <c r="A113" s="160">
        <v>108</v>
      </c>
      <c r="B113" s="161"/>
      <c r="C113" s="161" t="s">
        <v>374</v>
      </c>
      <c r="D113" s="161" t="s">
        <v>23</v>
      </c>
      <c r="E113" s="168" t="s">
        <v>375</v>
      </c>
      <c r="F113" s="161" t="s">
        <v>376</v>
      </c>
      <c r="G113" s="161" t="s">
        <v>26</v>
      </c>
      <c r="H113" s="161">
        <v>5069</v>
      </c>
      <c r="I113" s="161">
        <v>8448</v>
      </c>
      <c r="J113" s="194">
        <v>405.52</v>
      </c>
      <c r="K113" s="194">
        <v>168.96</v>
      </c>
      <c r="L113" s="168">
        <v>25.35</v>
      </c>
      <c r="M113" s="195">
        <v>0.25</v>
      </c>
      <c r="N113" s="194">
        <v>149.95</v>
      </c>
      <c r="O113" s="197">
        <v>45931</v>
      </c>
      <c r="P113" s="197">
        <v>45931</v>
      </c>
      <c r="Q113" s="161">
        <v>1</v>
      </c>
    </row>
    <row r="114" s="140" customFormat="1" ht="23" customHeight="1" spans="1:17">
      <c r="A114" s="160">
        <v>109</v>
      </c>
      <c r="B114" s="161"/>
      <c r="C114" s="161" t="s">
        <v>377</v>
      </c>
      <c r="D114" s="161" t="s">
        <v>23</v>
      </c>
      <c r="E114" s="168" t="s">
        <v>378</v>
      </c>
      <c r="F114" s="161" t="s">
        <v>379</v>
      </c>
      <c r="G114" s="161" t="s">
        <v>26</v>
      </c>
      <c r="H114" s="161">
        <v>5069</v>
      </c>
      <c r="I114" s="161">
        <v>8448</v>
      </c>
      <c r="J114" s="194">
        <v>405.52</v>
      </c>
      <c r="K114" s="194">
        <v>168.96</v>
      </c>
      <c r="L114" s="168">
        <v>25.35</v>
      </c>
      <c r="M114" s="195">
        <v>0.25</v>
      </c>
      <c r="N114" s="194">
        <v>149.95</v>
      </c>
      <c r="O114" s="197">
        <v>45931</v>
      </c>
      <c r="P114" s="197">
        <v>45931</v>
      </c>
      <c r="Q114" s="161">
        <v>1</v>
      </c>
    </row>
    <row r="115" s="140" customFormat="1" ht="23" customHeight="1" spans="1:17">
      <c r="A115" s="160">
        <v>110</v>
      </c>
      <c r="B115" s="161"/>
      <c r="C115" s="161" t="s">
        <v>380</v>
      </c>
      <c r="D115" s="161" t="s">
        <v>23</v>
      </c>
      <c r="E115" s="168" t="s">
        <v>381</v>
      </c>
      <c r="F115" s="161" t="s">
        <v>382</v>
      </c>
      <c r="G115" s="161" t="s">
        <v>26</v>
      </c>
      <c r="H115" s="161">
        <v>5069</v>
      </c>
      <c r="I115" s="161">
        <v>8448</v>
      </c>
      <c r="J115" s="194">
        <v>405.52</v>
      </c>
      <c r="K115" s="194">
        <v>168.96</v>
      </c>
      <c r="L115" s="168">
        <v>25.35</v>
      </c>
      <c r="M115" s="195">
        <v>0.25</v>
      </c>
      <c r="N115" s="194">
        <v>149.95</v>
      </c>
      <c r="O115" s="197">
        <v>45931</v>
      </c>
      <c r="P115" s="197">
        <v>45931</v>
      </c>
      <c r="Q115" s="161">
        <v>1</v>
      </c>
    </row>
    <row r="116" s="140" customFormat="1" ht="23" customHeight="1" spans="1:17">
      <c r="A116" s="160">
        <v>111</v>
      </c>
      <c r="B116" s="161"/>
      <c r="C116" s="161" t="s">
        <v>383</v>
      </c>
      <c r="D116" s="161" t="s">
        <v>23</v>
      </c>
      <c r="E116" s="168" t="s">
        <v>384</v>
      </c>
      <c r="F116" s="161" t="s">
        <v>385</v>
      </c>
      <c r="G116" s="161" t="s">
        <v>26</v>
      </c>
      <c r="H116" s="161">
        <v>5069</v>
      </c>
      <c r="I116" s="161">
        <v>8448</v>
      </c>
      <c r="J116" s="194">
        <v>405.52</v>
      </c>
      <c r="K116" s="194">
        <v>168.96</v>
      </c>
      <c r="L116" s="168">
        <v>25.35</v>
      </c>
      <c r="M116" s="195">
        <v>0.25</v>
      </c>
      <c r="N116" s="194">
        <v>149.95</v>
      </c>
      <c r="O116" s="197">
        <v>45931</v>
      </c>
      <c r="P116" s="197">
        <v>45931</v>
      </c>
      <c r="Q116" s="161">
        <v>1</v>
      </c>
    </row>
    <row r="117" s="140" customFormat="1" ht="23" customHeight="1" spans="1:17">
      <c r="A117" s="160">
        <v>112</v>
      </c>
      <c r="B117" s="161"/>
      <c r="C117" s="161" t="s">
        <v>386</v>
      </c>
      <c r="D117" s="161" t="s">
        <v>23</v>
      </c>
      <c r="E117" s="168" t="s">
        <v>387</v>
      </c>
      <c r="F117" s="161" t="s">
        <v>388</v>
      </c>
      <c r="G117" s="161" t="s">
        <v>26</v>
      </c>
      <c r="H117" s="161">
        <v>5069</v>
      </c>
      <c r="I117" s="161">
        <v>8448</v>
      </c>
      <c r="J117" s="194">
        <v>405.52</v>
      </c>
      <c r="K117" s="194">
        <v>168.96</v>
      </c>
      <c r="L117" s="168">
        <v>25.35</v>
      </c>
      <c r="M117" s="195">
        <v>0.25</v>
      </c>
      <c r="N117" s="194">
        <v>149.95</v>
      </c>
      <c r="O117" s="197">
        <v>45931</v>
      </c>
      <c r="P117" s="197">
        <v>45931</v>
      </c>
      <c r="Q117" s="161">
        <v>1</v>
      </c>
    </row>
    <row r="118" s="140" customFormat="1" ht="23" customHeight="1" spans="1:17">
      <c r="A118" s="160">
        <v>113</v>
      </c>
      <c r="B118" s="161"/>
      <c r="C118" s="161" t="s">
        <v>389</v>
      </c>
      <c r="D118" s="161" t="s">
        <v>23</v>
      </c>
      <c r="E118" s="168" t="s">
        <v>390</v>
      </c>
      <c r="F118" s="161" t="s">
        <v>391</v>
      </c>
      <c r="G118" s="161" t="s">
        <v>26</v>
      </c>
      <c r="H118" s="161">
        <v>5069</v>
      </c>
      <c r="I118" s="161">
        <v>8448</v>
      </c>
      <c r="J118" s="194">
        <v>405.52</v>
      </c>
      <c r="K118" s="194">
        <v>168.96</v>
      </c>
      <c r="L118" s="168">
        <v>25.35</v>
      </c>
      <c r="M118" s="195">
        <v>0.25</v>
      </c>
      <c r="N118" s="194">
        <v>149.95</v>
      </c>
      <c r="O118" s="197">
        <v>45931</v>
      </c>
      <c r="P118" s="197">
        <v>45931</v>
      </c>
      <c r="Q118" s="161">
        <v>1</v>
      </c>
    </row>
    <row r="119" s="140" customFormat="1" ht="23" customHeight="1" spans="1:17">
      <c r="A119" s="160">
        <v>114</v>
      </c>
      <c r="B119" s="161"/>
      <c r="C119" s="161" t="s">
        <v>392</v>
      </c>
      <c r="D119" s="161" t="s">
        <v>23</v>
      </c>
      <c r="E119" s="168" t="s">
        <v>393</v>
      </c>
      <c r="F119" s="161" t="s">
        <v>394</v>
      </c>
      <c r="G119" s="161" t="s">
        <v>26</v>
      </c>
      <c r="H119" s="161">
        <v>5069</v>
      </c>
      <c r="I119" s="161">
        <v>8448</v>
      </c>
      <c r="J119" s="194">
        <v>405.52</v>
      </c>
      <c r="K119" s="194">
        <v>168.96</v>
      </c>
      <c r="L119" s="168">
        <v>25.35</v>
      </c>
      <c r="M119" s="195">
        <v>0.25</v>
      </c>
      <c r="N119" s="194">
        <v>149.95</v>
      </c>
      <c r="O119" s="197">
        <v>45931</v>
      </c>
      <c r="P119" s="197">
        <v>45931</v>
      </c>
      <c r="Q119" s="161">
        <v>1</v>
      </c>
    </row>
    <row r="120" s="140" customFormat="1" ht="23" customHeight="1" spans="1:17">
      <c r="A120" s="160">
        <v>115</v>
      </c>
      <c r="B120" s="161"/>
      <c r="C120" s="161" t="s">
        <v>395</v>
      </c>
      <c r="D120" s="161" t="s">
        <v>23</v>
      </c>
      <c r="E120" s="168" t="s">
        <v>396</v>
      </c>
      <c r="F120" s="161" t="s">
        <v>397</v>
      </c>
      <c r="G120" s="161" t="s">
        <v>26</v>
      </c>
      <c r="H120" s="161">
        <v>5069</v>
      </c>
      <c r="I120" s="161">
        <v>8448</v>
      </c>
      <c r="J120" s="194">
        <v>405.52</v>
      </c>
      <c r="K120" s="194">
        <v>168.96</v>
      </c>
      <c r="L120" s="168">
        <v>25.35</v>
      </c>
      <c r="M120" s="195">
        <v>0.25</v>
      </c>
      <c r="N120" s="194">
        <v>149.95</v>
      </c>
      <c r="O120" s="197">
        <v>45931</v>
      </c>
      <c r="P120" s="197">
        <v>45931</v>
      </c>
      <c r="Q120" s="161">
        <v>1</v>
      </c>
    </row>
    <row r="121" s="140" customFormat="1" ht="23" customHeight="1" spans="1:17">
      <c r="A121" s="160">
        <v>116</v>
      </c>
      <c r="B121" s="161"/>
      <c r="C121" s="161" t="s">
        <v>398</v>
      </c>
      <c r="D121" s="161" t="s">
        <v>23</v>
      </c>
      <c r="E121" s="168" t="s">
        <v>399</v>
      </c>
      <c r="F121" s="161" t="s">
        <v>400</v>
      </c>
      <c r="G121" s="161" t="s">
        <v>26</v>
      </c>
      <c r="H121" s="161">
        <v>5069</v>
      </c>
      <c r="I121" s="161">
        <v>8448</v>
      </c>
      <c r="J121" s="194">
        <v>405.52</v>
      </c>
      <c r="K121" s="194">
        <v>168.96</v>
      </c>
      <c r="L121" s="168">
        <v>25.35</v>
      </c>
      <c r="M121" s="195">
        <v>0.25</v>
      </c>
      <c r="N121" s="194">
        <v>149.95</v>
      </c>
      <c r="O121" s="197">
        <v>45931</v>
      </c>
      <c r="P121" s="197">
        <v>45931</v>
      </c>
      <c r="Q121" s="161">
        <v>1</v>
      </c>
    </row>
    <row r="122" s="140" customFormat="1" ht="23" customHeight="1" spans="1:17">
      <c r="A122" s="160">
        <v>117</v>
      </c>
      <c r="B122" s="161"/>
      <c r="C122" s="161" t="s">
        <v>401</v>
      </c>
      <c r="D122" s="161" t="s">
        <v>40</v>
      </c>
      <c r="E122" s="168" t="s">
        <v>402</v>
      </c>
      <c r="F122" s="161" t="s">
        <v>403</v>
      </c>
      <c r="G122" s="161" t="s">
        <v>26</v>
      </c>
      <c r="H122" s="161">
        <v>5069</v>
      </c>
      <c r="I122" s="161">
        <v>8448</v>
      </c>
      <c r="J122" s="194">
        <v>405.52</v>
      </c>
      <c r="K122" s="194">
        <v>168.96</v>
      </c>
      <c r="L122" s="168">
        <v>25.35</v>
      </c>
      <c r="M122" s="195">
        <v>0.25</v>
      </c>
      <c r="N122" s="194">
        <v>149.95</v>
      </c>
      <c r="O122" s="197">
        <v>45931</v>
      </c>
      <c r="P122" s="197">
        <v>45931</v>
      </c>
      <c r="Q122" s="161">
        <v>1</v>
      </c>
    </row>
    <row r="123" s="140" customFormat="1" ht="23" customHeight="1" spans="1:17">
      <c r="A123" s="160">
        <v>118</v>
      </c>
      <c r="B123" s="161"/>
      <c r="C123" s="161" t="s">
        <v>404</v>
      </c>
      <c r="D123" s="161" t="s">
        <v>23</v>
      </c>
      <c r="E123" s="168" t="s">
        <v>405</v>
      </c>
      <c r="F123" s="161" t="s">
        <v>406</v>
      </c>
      <c r="G123" s="161" t="s">
        <v>26</v>
      </c>
      <c r="H123" s="161">
        <v>5069</v>
      </c>
      <c r="I123" s="161">
        <v>8448</v>
      </c>
      <c r="J123" s="194">
        <v>405.52</v>
      </c>
      <c r="K123" s="194">
        <v>168.96</v>
      </c>
      <c r="L123" s="168">
        <v>25.35</v>
      </c>
      <c r="M123" s="195">
        <v>0.25</v>
      </c>
      <c r="N123" s="194">
        <v>149.95</v>
      </c>
      <c r="O123" s="197">
        <v>45931</v>
      </c>
      <c r="P123" s="197">
        <v>45931</v>
      </c>
      <c r="Q123" s="161">
        <v>1</v>
      </c>
    </row>
    <row r="124" s="140" customFormat="1" ht="23" customHeight="1" spans="1:17">
      <c r="A124" s="160">
        <v>119</v>
      </c>
      <c r="B124" s="161"/>
      <c r="C124" s="161" t="s">
        <v>407</v>
      </c>
      <c r="D124" s="161" t="s">
        <v>23</v>
      </c>
      <c r="E124" s="168" t="s">
        <v>408</v>
      </c>
      <c r="F124" s="161" t="s">
        <v>409</v>
      </c>
      <c r="G124" s="161" t="s">
        <v>26</v>
      </c>
      <c r="H124" s="161">
        <v>5069</v>
      </c>
      <c r="I124" s="161">
        <v>8448</v>
      </c>
      <c r="J124" s="194">
        <v>405.52</v>
      </c>
      <c r="K124" s="194">
        <v>168.96</v>
      </c>
      <c r="L124" s="168">
        <v>25.35</v>
      </c>
      <c r="M124" s="195">
        <v>0.25</v>
      </c>
      <c r="N124" s="194">
        <v>149.95</v>
      </c>
      <c r="O124" s="197">
        <v>45931</v>
      </c>
      <c r="P124" s="197">
        <v>45931</v>
      </c>
      <c r="Q124" s="161">
        <v>1</v>
      </c>
    </row>
    <row r="125" s="140" customFormat="1" ht="23" customHeight="1" spans="1:17">
      <c r="A125" s="160">
        <v>120</v>
      </c>
      <c r="B125" s="161"/>
      <c r="C125" s="161" t="s">
        <v>410</v>
      </c>
      <c r="D125" s="161" t="s">
        <v>23</v>
      </c>
      <c r="E125" s="168" t="s">
        <v>411</v>
      </c>
      <c r="F125" s="161" t="s">
        <v>412</v>
      </c>
      <c r="G125" s="161" t="s">
        <v>26</v>
      </c>
      <c r="H125" s="161">
        <v>5069</v>
      </c>
      <c r="I125" s="161">
        <v>8448</v>
      </c>
      <c r="J125" s="194">
        <v>405.52</v>
      </c>
      <c r="K125" s="194">
        <v>168.96</v>
      </c>
      <c r="L125" s="168">
        <v>25.35</v>
      </c>
      <c r="M125" s="195">
        <v>0.25</v>
      </c>
      <c r="N125" s="194">
        <v>149.95</v>
      </c>
      <c r="O125" s="197">
        <v>45931</v>
      </c>
      <c r="P125" s="197">
        <v>45931</v>
      </c>
      <c r="Q125" s="161">
        <v>1</v>
      </c>
    </row>
    <row r="126" s="140" customFormat="1" ht="23" customHeight="1" spans="1:17">
      <c r="A126" s="160">
        <v>121</v>
      </c>
      <c r="B126" s="161" t="s">
        <v>413</v>
      </c>
      <c r="C126" s="161" t="s">
        <v>414</v>
      </c>
      <c r="D126" s="161" t="s">
        <v>40</v>
      </c>
      <c r="E126" s="168" t="s">
        <v>415</v>
      </c>
      <c r="F126" s="161" t="s">
        <v>416</v>
      </c>
      <c r="G126" s="161" t="s">
        <v>26</v>
      </c>
      <c r="H126" s="161">
        <v>5069</v>
      </c>
      <c r="I126" s="161">
        <v>8448</v>
      </c>
      <c r="J126" s="194">
        <v>405.52</v>
      </c>
      <c r="K126" s="194">
        <v>168.96</v>
      </c>
      <c r="L126" s="168">
        <v>25.35</v>
      </c>
      <c r="M126" s="195">
        <v>0.25</v>
      </c>
      <c r="N126" s="194">
        <v>149.95</v>
      </c>
      <c r="O126" s="197">
        <v>45931</v>
      </c>
      <c r="P126" s="197">
        <v>45931</v>
      </c>
      <c r="Q126" s="161">
        <v>1</v>
      </c>
    </row>
    <row r="127" s="140" customFormat="1" ht="23" customHeight="1" spans="1:17">
      <c r="A127" s="160">
        <v>122</v>
      </c>
      <c r="B127" s="161"/>
      <c r="C127" s="161" t="s">
        <v>417</v>
      </c>
      <c r="D127" s="161" t="s">
        <v>23</v>
      </c>
      <c r="E127" s="168" t="s">
        <v>418</v>
      </c>
      <c r="F127" s="161" t="s">
        <v>419</v>
      </c>
      <c r="G127" s="161" t="s">
        <v>26</v>
      </c>
      <c r="H127" s="161">
        <v>5069</v>
      </c>
      <c r="I127" s="161">
        <v>8448</v>
      </c>
      <c r="J127" s="194">
        <v>405.52</v>
      </c>
      <c r="K127" s="194">
        <v>168.96</v>
      </c>
      <c r="L127" s="168">
        <v>25.35</v>
      </c>
      <c r="M127" s="195">
        <v>0.25</v>
      </c>
      <c r="N127" s="194">
        <v>149.95</v>
      </c>
      <c r="O127" s="197">
        <v>45931</v>
      </c>
      <c r="P127" s="197">
        <v>45931</v>
      </c>
      <c r="Q127" s="161">
        <v>1</v>
      </c>
    </row>
    <row r="128" s="140" customFormat="1" ht="23" customHeight="1" spans="1:17">
      <c r="A128" s="160">
        <v>123</v>
      </c>
      <c r="B128" s="161"/>
      <c r="C128" s="161" t="s">
        <v>420</v>
      </c>
      <c r="D128" s="161" t="s">
        <v>40</v>
      </c>
      <c r="E128" s="168" t="s">
        <v>421</v>
      </c>
      <c r="F128" s="161" t="s">
        <v>422</v>
      </c>
      <c r="G128" s="161" t="s">
        <v>26</v>
      </c>
      <c r="H128" s="161">
        <v>5069</v>
      </c>
      <c r="I128" s="161">
        <v>8448</v>
      </c>
      <c r="J128" s="194">
        <v>405.52</v>
      </c>
      <c r="K128" s="194">
        <v>168.96</v>
      </c>
      <c r="L128" s="168">
        <v>25.35</v>
      </c>
      <c r="M128" s="195">
        <v>0.25</v>
      </c>
      <c r="N128" s="194">
        <v>149.95</v>
      </c>
      <c r="O128" s="197">
        <v>45931</v>
      </c>
      <c r="P128" s="197">
        <v>45931</v>
      </c>
      <c r="Q128" s="161">
        <v>1</v>
      </c>
    </row>
    <row r="129" s="140" customFormat="1" ht="23" customHeight="1" spans="1:17">
      <c r="A129" s="160">
        <v>124</v>
      </c>
      <c r="B129" s="161"/>
      <c r="C129" s="161" t="s">
        <v>423</v>
      </c>
      <c r="D129" s="161" t="s">
        <v>23</v>
      </c>
      <c r="E129" s="168" t="s">
        <v>424</v>
      </c>
      <c r="F129" s="161" t="s">
        <v>425</v>
      </c>
      <c r="G129" s="161" t="s">
        <v>26</v>
      </c>
      <c r="H129" s="161">
        <v>5069</v>
      </c>
      <c r="I129" s="161">
        <v>8448</v>
      </c>
      <c r="J129" s="194">
        <v>405.52</v>
      </c>
      <c r="K129" s="194">
        <v>168.96</v>
      </c>
      <c r="L129" s="168">
        <v>25.35</v>
      </c>
      <c r="M129" s="195">
        <v>0.25</v>
      </c>
      <c r="N129" s="194">
        <v>149.95</v>
      </c>
      <c r="O129" s="197">
        <v>45931</v>
      </c>
      <c r="P129" s="197">
        <v>45931</v>
      </c>
      <c r="Q129" s="161">
        <v>1</v>
      </c>
    </row>
    <row r="130" s="140" customFormat="1" ht="23" customHeight="1" spans="1:17">
      <c r="A130" s="160">
        <v>125</v>
      </c>
      <c r="B130" s="161"/>
      <c r="C130" s="161" t="s">
        <v>426</v>
      </c>
      <c r="D130" s="161" t="s">
        <v>23</v>
      </c>
      <c r="E130" s="168" t="s">
        <v>427</v>
      </c>
      <c r="F130" s="161" t="s">
        <v>428</v>
      </c>
      <c r="G130" s="161" t="s">
        <v>26</v>
      </c>
      <c r="H130" s="161">
        <v>5069</v>
      </c>
      <c r="I130" s="161">
        <v>8448</v>
      </c>
      <c r="J130" s="194">
        <v>405.52</v>
      </c>
      <c r="K130" s="194">
        <v>168.96</v>
      </c>
      <c r="L130" s="168">
        <v>25.35</v>
      </c>
      <c r="M130" s="195">
        <v>0.25</v>
      </c>
      <c r="N130" s="194">
        <v>149.95</v>
      </c>
      <c r="O130" s="197">
        <v>45931</v>
      </c>
      <c r="P130" s="197">
        <v>45931</v>
      </c>
      <c r="Q130" s="161">
        <v>1</v>
      </c>
    </row>
    <row r="131" s="140" customFormat="1" ht="23" customHeight="1" spans="1:17">
      <c r="A131" s="160">
        <v>126</v>
      </c>
      <c r="B131" s="161"/>
      <c r="C131" s="161" t="s">
        <v>429</v>
      </c>
      <c r="D131" s="161" t="s">
        <v>23</v>
      </c>
      <c r="E131" s="168" t="s">
        <v>430</v>
      </c>
      <c r="F131" s="161" t="s">
        <v>431</v>
      </c>
      <c r="G131" s="161" t="s">
        <v>26</v>
      </c>
      <c r="H131" s="161">
        <v>5069</v>
      </c>
      <c r="I131" s="161">
        <v>8448</v>
      </c>
      <c r="J131" s="194">
        <v>405.52</v>
      </c>
      <c r="K131" s="194">
        <v>168.96</v>
      </c>
      <c r="L131" s="168">
        <v>25.35</v>
      </c>
      <c r="M131" s="195">
        <v>0.25</v>
      </c>
      <c r="N131" s="194">
        <v>149.95</v>
      </c>
      <c r="O131" s="197">
        <v>45931</v>
      </c>
      <c r="P131" s="197">
        <v>45931</v>
      </c>
      <c r="Q131" s="161">
        <v>1</v>
      </c>
    </row>
    <row r="132" s="140" customFormat="1" ht="23" customHeight="1" spans="1:17">
      <c r="A132" s="160">
        <v>127</v>
      </c>
      <c r="B132" s="161"/>
      <c r="C132" s="161" t="s">
        <v>432</v>
      </c>
      <c r="D132" s="161" t="s">
        <v>23</v>
      </c>
      <c r="E132" s="168" t="s">
        <v>433</v>
      </c>
      <c r="F132" s="161" t="s">
        <v>434</v>
      </c>
      <c r="G132" s="161" t="s">
        <v>26</v>
      </c>
      <c r="H132" s="161">
        <v>5069</v>
      </c>
      <c r="I132" s="161">
        <v>8448</v>
      </c>
      <c r="J132" s="194">
        <v>405.52</v>
      </c>
      <c r="K132" s="194">
        <v>168.96</v>
      </c>
      <c r="L132" s="168">
        <v>25.35</v>
      </c>
      <c r="M132" s="195">
        <v>0.25</v>
      </c>
      <c r="N132" s="194">
        <v>149.95</v>
      </c>
      <c r="O132" s="197">
        <v>45931</v>
      </c>
      <c r="P132" s="197">
        <v>45931</v>
      </c>
      <c r="Q132" s="161">
        <v>1</v>
      </c>
    </row>
    <row r="133" s="140" customFormat="1" ht="23" customHeight="1" spans="1:17">
      <c r="A133" s="160">
        <v>128</v>
      </c>
      <c r="B133" s="161"/>
      <c r="C133" s="161" t="s">
        <v>435</v>
      </c>
      <c r="D133" s="161" t="s">
        <v>23</v>
      </c>
      <c r="E133" s="168" t="s">
        <v>436</v>
      </c>
      <c r="F133" s="161" t="s">
        <v>437</v>
      </c>
      <c r="G133" s="161" t="s">
        <v>26</v>
      </c>
      <c r="H133" s="161">
        <v>5069</v>
      </c>
      <c r="I133" s="161">
        <v>8448</v>
      </c>
      <c r="J133" s="194">
        <v>405.52</v>
      </c>
      <c r="K133" s="194">
        <v>168.96</v>
      </c>
      <c r="L133" s="168">
        <v>25.35</v>
      </c>
      <c r="M133" s="195">
        <v>0.25</v>
      </c>
      <c r="N133" s="194">
        <v>149.95</v>
      </c>
      <c r="O133" s="197">
        <v>45931</v>
      </c>
      <c r="P133" s="197">
        <v>45931</v>
      </c>
      <c r="Q133" s="161">
        <v>1</v>
      </c>
    </row>
    <row r="134" s="140" customFormat="1" ht="23" customHeight="1" spans="1:17">
      <c r="A134" s="160">
        <v>129</v>
      </c>
      <c r="B134" s="161"/>
      <c r="C134" s="161" t="s">
        <v>438</v>
      </c>
      <c r="D134" s="161" t="s">
        <v>23</v>
      </c>
      <c r="E134" s="168" t="s">
        <v>439</v>
      </c>
      <c r="F134" s="161" t="s">
        <v>440</v>
      </c>
      <c r="G134" s="161" t="s">
        <v>26</v>
      </c>
      <c r="H134" s="161">
        <v>5069</v>
      </c>
      <c r="I134" s="161">
        <v>8448</v>
      </c>
      <c r="J134" s="194">
        <v>405.52</v>
      </c>
      <c r="K134" s="194">
        <v>168.96</v>
      </c>
      <c r="L134" s="168">
        <v>25.35</v>
      </c>
      <c r="M134" s="195">
        <v>0.25</v>
      </c>
      <c r="N134" s="194">
        <v>149.95</v>
      </c>
      <c r="O134" s="197">
        <v>45931</v>
      </c>
      <c r="P134" s="197">
        <v>45931</v>
      </c>
      <c r="Q134" s="161">
        <v>1</v>
      </c>
    </row>
    <row r="135" s="140" customFormat="1" ht="23" customHeight="1" spans="1:17">
      <c r="A135" s="160">
        <v>130</v>
      </c>
      <c r="B135" s="161"/>
      <c r="C135" s="161" t="s">
        <v>441</v>
      </c>
      <c r="D135" s="161" t="s">
        <v>23</v>
      </c>
      <c r="E135" s="168" t="s">
        <v>442</v>
      </c>
      <c r="F135" s="161" t="s">
        <v>443</v>
      </c>
      <c r="G135" s="161" t="s">
        <v>26</v>
      </c>
      <c r="H135" s="161">
        <v>5069</v>
      </c>
      <c r="I135" s="161">
        <v>8448</v>
      </c>
      <c r="J135" s="194">
        <v>405.52</v>
      </c>
      <c r="K135" s="194">
        <v>168.96</v>
      </c>
      <c r="L135" s="168">
        <v>25.35</v>
      </c>
      <c r="M135" s="195">
        <v>0.25</v>
      </c>
      <c r="N135" s="194">
        <v>149.95</v>
      </c>
      <c r="O135" s="197">
        <v>45931</v>
      </c>
      <c r="P135" s="197">
        <v>45931</v>
      </c>
      <c r="Q135" s="161">
        <v>1</v>
      </c>
    </row>
    <row r="136" s="140" customFormat="1" ht="23" customHeight="1" spans="1:17">
      <c r="A136" s="160">
        <v>131</v>
      </c>
      <c r="B136" s="161"/>
      <c r="C136" s="161" t="s">
        <v>444</v>
      </c>
      <c r="D136" s="161" t="s">
        <v>23</v>
      </c>
      <c r="E136" s="168" t="s">
        <v>445</v>
      </c>
      <c r="F136" s="161" t="s">
        <v>446</v>
      </c>
      <c r="G136" s="161" t="s">
        <v>26</v>
      </c>
      <c r="H136" s="161">
        <v>5069</v>
      </c>
      <c r="I136" s="161">
        <v>8448</v>
      </c>
      <c r="J136" s="194">
        <v>405.52</v>
      </c>
      <c r="K136" s="194">
        <v>168.96</v>
      </c>
      <c r="L136" s="168">
        <v>25.35</v>
      </c>
      <c r="M136" s="195">
        <v>0.25</v>
      </c>
      <c r="N136" s="194">
        <v>149.95</v>
      </c>
      <c r="O136" s="197">
        <v>45931</v>
      </c>
      <c r="P136" s="197">
        <v>45931</v>
      </c>
      <c r="Q136" s="161">
        <v>1</v>
      </c>
    </row>
    <row r="137" s="140" customFormat="1" ht="23" customHeight="1" spans="1:17">
      <c r="A137" s="160">
        <v>132</v>
      </c>
      <c r="B137" s="161"/>
      <c r="C137" s="161" t="s">
        <v>447</v>
      </c>
      <c r="D137" s="161" t="s">
        <v>23</v>
      </c>
      <c r="E137" s="168" t="s">
        <v>448</v>
      </c>
      <c r="F137" s="161" t="s">
        <v>449</v>
      </c>
      <c r="G137" s="161" t="s">
        <v>26</v>
      </c>
      <c r="H137" s="161">
        <v>5069</v>
      </c>
      <c r="I137" s="161">
        <v>8448</v>
      </c>
      <c r="J137" s="194">
        <v>405.52</v>
      </c>
      <c r="K137" s="194">
        <v>168.96</v>
      </c>
      <c r="L137" s="168">
        <v>25.35</v>
      </c>
      <c r="M137" s="195">
        <v>0.25</v>
      </c>
      <c r="N137" s="194">
        <v>149.95</v>
      </c>
      <c r="O137" s="197">
        <v>45931</v>
      </c>
      <c r="P137" s="197">
        <v>45931</v>
      </c>
      <c r="Q137" s="161">
        <v>1</v>
      </c>
    </row>
    <row r="138" s="140" customFormat="1" ht="23" customHeight="1" spans="1:17">
      <c r="A138" s="160">
        <v>133</v>
      </c>
      <c r="B138" s="161"/>
      <c r="C138" s="161" t="s">
        <v>450</v>
      </c>
      <c r="D138" s="161" t="s">
        <v>23</v>
      </c>
      <c r="E138" s="168" t="s">
        <v>451</v>
      </c>
      <c r="F138" s="161" t="s">
        <v>452</v>
      </c>
      <c r="G138" s="161" t="s">
        <v>26</v>
      </c>
      <c r="H138" s="161">
        <v>5069</v>
      </c>
      <c r="I138" s="161">
        <v>8448</v>
      </c>
      <c r="J138" s="194">
        <v>405.52</v>
      </c>
      <c r="K138" s="194">
        <v>168.96</v>
      </c>
      <c r="L138" s="168">
        <v>25.35</v>
      </c>
      <c r="M138" s="195">
        <v>0.25</v>
      </c>
      <c r="N138" s="194">
        <v>149.95</v>
      </c>
      <c r="O138" s="197">
        <v>45931</v>
      </c>
      <c r="P138" s="197">
        <v>45931</v>
      </c>
      <c r="Q138" s="161">
        <v>1</v>
      </c>
    </row>
    <row r="139" s="140" customFormat="1" ht="23" customHeight="1" spans="1:17">
      <c r="A139" s="160">
        <v>134</v>
      </c>
      <c r="B139" s="161"/>
      <c r="C139" s="161" t="s">
        <v>453</v>
      </c>
      <c r="D139" s="161" t="s">
        <v>23</v>
      </c>
      <c r="E139" s="168" t="s">
        <v>454</v>
      </c>
      <c r="F139" s="161" t="s">
        <v>455</v>
      </c>
      <c r="G139" s="161" t="s">
        <v>26</v>
      </c>
      <c r="H139" s="161">
        <v>5069</v>
      </c>
      <c r="I139" s="161">
        <v>8448</v>
      </c>
      <c r="J139" s="194">
        <v>405.52</v>
      </c>
      <c r="K139" s="194">
        <v>168.96</v>
      </c>
      <c r="L139" s="168">
        <v>25.35</v>
      </c>
      <c r="M139" s="195">
        <v>0.25</v>
      </c>
      <c r="N139" s="194">
        <v>149.95</v>
      </c>
      <c r="O139" s="197">
        <v>45931</v>
      </c>
      <c r="P139" s="197">
        <v>45931</v>
      </c>
      <c r="Q139" s="161">
        <v>1</v>
      </c>
    </row>
    <row r="140" s="140" customFormat="1" ht="23" customHeight="1" spans="1:17">
      <c r="A140" s="160">
        <v>135</v>
      </c>
      <c r="B140" s="161"/>
      <c r="C140" s="161" t="s">
        <v>456</v>
      </c>
      <c r="D140" s="161" t="s">
        <v>23</v>
      </c>
      <c r="E140" s="168" t="s">
        <v>457</v>
      </c>
      <c r="F140" s="161" t="s">
        <v>458</v>
      </c>
      <c r="G140" s="161" t="s">
        <v>26</v>
      </c>
      <c r="H140" s="161">
        <v>5069</v>
      </c>
      <c r="I140" s="161">
        <v>8448</v>
      </c>
      <c r="J140" s="194">
        <v>405.52</v>
      </c>
      <c r="K140" s="194">
        <v>168.96</v>
      </c>
      <c r="L140" s="168">
        <v>25.35</v>
      </c>
      <c r="M140" s="195">
        <v>0.25</v>
      </c>
      <c r="N140" s="194">
        <v>149.95</v>
      </c>
      <c r="O140" s="197">
        <v>45931</v>
      </c>
      <c r="P140" s="197">
        <v>45931</v>
      </c>
      <c r="Q140" s="161">
        <v>1</v>
      </c>
    </row>
    <row r="141" s="140" customFormat="1" ht="23" customHeight="1" spans="1:17">
      <c r="A141" s="160">
        <v>136</v>
      </c>
      <c r="B141" s="161"/>
      <c r="C141" s="161" t="s">
        <v>459</v>
      </c>
      <c r="D141" s="161" t="s">
        <v>23</v>
      </c>
      <c r="E141" s="168" t="s">
        <v>460</v>
      </c>
      <c r="F141" s="161" t="s">
        <v>461</v>
      </c>
      <c r="G141" s="161" t="s">
        <v>26</v>
      </c>
      <c r="H141" s="161">
        <v>5069</v>
      </c>
      <c r="I141" s="161">
        <v>8448</v>
      </c>
      <c r="J141" s="194">
        <v>405.52</v>
      </c>
      <c r="K141" s="194">
        <v>168.96</v>
      </c>
      <c r="L141" s="168">
        <v>25.35</v>
      </c>
      <c r="M141" s="195">
        <v>0.25</v>
      </c>
      <c r="N141" s="194">
        <v>149.95</v>
      </c>
      <c r="O141" s="197">
        <v>45931</v>
      </c>
      <c r="P141" s="197">
        <v>45931</v>
      </c>
      <c r="Q141" s="161">
        <v>1</v>
      </c>
    </row>
    <row r="142" s="140" customFormat="1" ht="23" customHeight="1" spans="1:17">
      <c r="A142" s="160">
        <v>137</v>
      </c>
      <c r="B142" s="161"/>
      <c r="C142" s="161" t="s">
        <v>462</v>
      </c>
      <c r="D142" s="161" t="s">
        <v>40</v>
      </c>
      <c r="E142" s="168" t="s">
        <v>463</v>
      </c>
      <c r="F142" s="161" t="s">
        <v>464</v>
      </c>
      <c r="G142" s="161" t="s">
        <v>26</v>
      </c>
      <c r="H142" s="161">
        <v>5069</v>
      </c>
      <c r="I142" s="161">
        <v>8448</v>
      </c>
      <c r="J142" s="194">
        <v>405.52</v>
      </c>
      <c r="K142" s="194">
        <v>168.96</v>
      </c>
      <c r="L142" s="168">
        <v>25.35</v>
      </c>
      <c r="M142" s="195">
        <v>0.25</v>
      </c>
      <c r="N142" s="194">
        <v>149.95</v>
      </c>
      <c r="O142" s="197">
        <v>45931</v>
      </c>
      <c r="P142" s="197">
        <v>45931</v>
      </c>
      <c r="Q142" s="161">
        <v>1</v>
      </c>
    </row>
    <row r="143" s="140" customFormat="1" ht="23" customHeight="1" spans="1:17">
      <c r="A143" s="160">
        <v>138</v>
      </c>
      <c r="B143" s="161"/>
      <c r="C143" s="161" t="s">
        <v>465</v>
      </c>
      <c r="D143" s="161" t="s">
        <v>23</v>
      </c>
      <c r="E143" s="168" t="s">
        <v>466</v>
      </c>
      <c r="F143" s="161" t="s">
        <v>467</v>
      </c>
      <c r="G143" s="161" t="s">
        <v>26</v>
      </c>
      <c r="H143" s="161">
        <v>5069</v>
      </c>
      <c r="I143" s="161">
        <v>8448</v>
      </c>
      <c r="J143" s="194">
        <v>405.52</v>
      </c>
      <c r="K143" s="194">
        <v>168.96</v>
      </c>
      <c r="L143" s="168">
        <v>25.35</v>
      </c>
      <c r="M143" s="195">
        <v>0.25</v>
      </c>
      <c r="N143" s="194">
        <v>149.95</v>
      </c>
      <c r="O143" s="197">
        <v>45931</v>
      </c>
      <c r="P143" s="197">
        <v>45931</v>
      </c>
      <c r="Q143" s="161">
        <v>1</v>
      </c>
    </row>
    <row r="144" s="140" customFormat="1" ht="23" customHeight="1" spans="1:17">
      <c r="A144" s="160">
        <v>139</v>
      </c>
      <c r="B144" s="161"/>
      <c r="C144" s="161" t="s">
        <v>468</v>
      </c>
      <c r="D144" s="161" t="s">
        <v>23</v>
      </c>
      <c r="E144" s="168" t="s">
        <v>469</v>
      </c>
      <c r="F144" s="161" t="s">
        <v>470</v>
      </c>
      <c r="G144" s="161" t="s">
        <v>26</v>
      </c>
      <c r="H144" s="161">
        <v>5069</v>
      </c>
      <c r="I144" s="161">
        <v>8448</v>
      </c>
      <c r="J144" s="194">
        <v>405.52</v>
      </c>
      <c r="K144" s="194">
        <v>168.96</v>
      </c>
      <c r="L144" s="168">
        <v>25.35</v>
      </c>
      <c r="M144" s="195">
        <v>0.25</v>
      </c>
      <c r="N144" s="194">
        <v>149.95</v>
      </c>
      <c r="O144" s="197">
        <v>45931</v>
      </c>
      <c r="P144" s="197">
        <v>45931</v>
      </c>
      <c r="Q144" s="161">
        <v>1</v>
      </c>
    </row>
    <row r="145" s="140" customFormat="1" ht="23" customHeight="1" spans="1:17">
      <c r="A145" s="160">
        <v>140</v>
      </c>
      <c r="B145" s="161"/>
      <c r="C145" s="161" t="s">
        <v>471</v>
      </c>
      <c r="D145" s="161" t="s">
        <v>23</v>
      </c>
      <c r="E145" s="168" t="s">
        <v>472</v>
      </c>
      <c r="F145" s="161" t="s">
        <v>473</v>
      </c>
      <c r="G145" s="161" t="s">
        <v>26</v>
      </c>
      <c r="H145" s="161">
        <v>5069</v>
      </c>
      <c r="I145" s="161">
        <v>8448</v>
      </c>
      <c r="J145" s="194">
        <v>405.52</v>
      </c>
      <c r="K145" s="194">
        <v>168.96</v>
      </c>
      <c r="L145" s="168">
        <v>25.35</v>
      </c>
      <c r="M145" s="195">
        <v>0.25</v>
      </c>
      <c r="N145" s="194">
        <v>149.95</v>
      </c>
      <c r="O145" s="197">
        <v>45931</v>
      </c>
      <c r="P145" s="197">
        <v>45931</v>
      </c>
      <c r="Q145" s="161">
        <v>1</v>
      </c>
    </row>
    <row r="146" s="140" customFormat="1" ht="23" customHeight="1" spans="1:17">
      <c r="A146" s="160">
        <v>141</v>
      </c>
      <c r="B146" s="161"/>
      <c r="C146" s="161" t="s">
        <v>474</v>
      </c>
      <c r="D146" s="161" t="s">
        <v>23</v>
      </c>
      <c r="E146" s="168" t="s">
        <v>475</v>
      </c>
      <c r="F146" s="161" t="s">
        <v>476</v>
      </c>
      <c r="G146" s="161" t="s">
        <v>26</v>
      </c>
      <c r="H146" s="161">
        <v>5069</v>
      </c>
      <c r="I146" s="161">
        <v>8448</v>
      </c>
      <c r="J146" s="194">
        <v>405.52</v>
      </c>
      <c r="K146" s="194">
        <v>168.96</v>
      </c>
      <c r="L146" s="168">
        <v>25.35</v>
      </c>
      <c r="M146" s="195">
        <v>0.25</v>
      </c>
      <c r="N146" s="194">
        <v>149.95</v>
      </c>
      <c r="O146" s="197">
        <v>45931</v>
      </c>
      <c r="P146" s="197">
        <v>45931</v>
      </c>
      <c r="Q146" s="161">
        <v>1</v>
      </c>
    </row>
    <row r="147" s="140" customFormat="1" ht="23" customHeight="1" spans="1:17">
      <c r="A147" s="160">
        <v>142</v>
      </c>
      <c r="B147" s="161"/>
      <c r="C147" s="161" t="s">
        <v>477</v>
      </c>
      <c r="D147" s="161" t="s">
        <v>23</v>
      </c>
      <c r="E147" s="168" t="s">
        <v>478</v>
      </c>
      <c r="F147" s="161" t="s">
        <v>479</v>
      </c>
      <c r="G147" s="161" t="s">
        <v>26</v>
      </c>
      <c r="H147" s="161">
        <v>5069</v>
      </c>
      <c r="I147" s="161">
        <v>8448</v>
      </c>
      <c r="J147" s="194">
        <v>405.52</v>
      </c>
      <c r="K147" s="194">
        <v>168.96</v>
      </c>
      <c r="L147" s="168">
        <v>25.35</v>
      </c>
      <c r="M147" s="195">
        <v>0.25</v>
      </c>
      <c r="N147" s="194">
        <v>149.95</v>
      </c>
      <c r="O147" s="197">
        <v>45931</v>
      </c>
      <c r="P147" s="197">
        <v>45931</v>
      </c>
      <c r="Q147" s="161">
        <v>1</v>
      </c>
    </row>
    <row r="148" s="140" customFormat="1" ht="23" customHeight="1" spans="1:17">
      <c r="A148" s="160">
        <v>143</v>
      </c>
      <c r="B148" s="161"/>
      <c r="C148" s="161" t="s">
        <v>480</v>
      </c>
      <c r="D148" s="161" t="s">
        <v>23</v>
      </c>
      <c r="E148" s="168" t="s">
        <v>481</v>
      </c>
      <c r="F148" s="168" t="s">
        <v>482</v>
      </c>
      <c r="G148" s="161" t="s">
        <v>26</v>
      </c>
      <c r="H148" s="161">
        <v>5069</v>
      </c>
      <c r="I148" s="161">
        <v>8448</v>
      </c>
      <c r="J148" s="194">
        <v>405.52</v>
      </c>
      <c r="K148" s="194">
        <v>168.96</v>
      </c>
      <c r="L148" s="168">
        <v>25.35</v>
      </c>
      <c r="M148" s="195">
        <v>0.25</v>
      </c>
      <c r="N148" s="194">
        <v>149.95</v>
      </c>
      <c r="O148" s="197">
        <v>45931</v>
      </c>
      <c r="P148" s="197">
        <v>45931</v>
      </c>
      <c r="Q148" s="161">
        <v>1</v>
      </c>
    </row>
    <row r="149" s="140" customFormat="1" ht="36" customHeight="1" spans="1:17">
      <c r="A149" s="160">
        <v>144</v>
      </c>
      <c r="B149" s="161" t="s">
        <v>483</v>
      </c>
      <c r="C149" s="161" t="s">
        <v>484</v>
      </c>
      <c r="D149" s="161" t="s">
        <v>23</v>
      </c>
      <c r="E149" s="168" t="s">
        <v>485</v>
      </c>
      <c r="F149" s="176" t="s">
        <v>486</v>
      </c>
      <c r="G149" s="161" t="s">
        <v>26</v>
      </c>
      <c r="H149" s="161">
        <v>5069</v>
      </c>
      <c r="I149" s="161">
        <v>8448</v>
      </c>
      <c r="J149" s="194">
        <v>405.52</v>
      </c>
      <c r="K149" s="194">
        <v>168.96</v>
      </c>
      <c r="L149" s="168">
        <v>25.35</v>
      </c>
      <c r="M149" s="195">
        <v>0.25</v>
      </c>
      <c r="N149" s="194">
        <v>149.95</v>
      </c>
      <c r="O149" s="197">
        <v>45931</v>
      </c>
      <c r="P149" s="197">
        <v>45931</v>
      </c>
      <c r="Q149" s="161">
        <v>1</v>
      </c>
    </row>
    <row r="150" s="140" customFormat="1" ht="23" customHeight="1" spans="1:17">
      <c r="A150" s="160">
        <v>145</v>
      </c>
      <c r="B150" s="161" t="s">
        <v>487</v>
      </c>
      <c r="C150" s="161" t="s">
        <v>488</v>
      </c>
      <c r="D150" s="161" t="s">
        <v>40</v>
      </c>
      <c r="E150" s="209" t="s">
        <v>489</v>
      </c>
      <c r="F150" s="209" t="s">
        <v>490</v>
      </c>
      <c r="G150" s="161" t="s">
        <v>26</v>
      </c>
      <c r="H150" s="210">
        <v>4999</v>
      </c>
      <c r="I150" s="210">
        <v>8332</v>
      </c>
      <c r="J150" s="194">
        <f t="shared" ref="J150:J175" si="23">H150*0.08</f>
        <v>399.92</v>
      </c>
      <c r="K150" s="194">
        <f t="shared" ref="K150:K175" si="24">I150*0.02</f>
        <v>166.64</v>
      </c>
      <c r="L150" s="166">
        <f t="shared" ref="L150:L175" si="25">H150*0.005</f>
        <v>24.995</v>
      </c>
      <c r="M150" s="195">
        <v>0.25</v>
      </c>
      <c r="N150" s="194">
        <v>147.89</v>
      </c>
      <c r="O150" s="197">
        <v>45901</v>
      </c>
      <c r="P150" s="197">
        <v>45901</v>
      </c>
      <c r="Q150" s="161">
        <f t="shared" ref="Q150:Q183" si="26">DATEDIF(O150,P150,"M")+1</f>
        <v>1</v>
      </c>
    </row>
    <row r="151" s="140" customFormat="1" ht="34" customHeight="1" spans="1:17">
      <c r="A151" s="160">
        <v>146</v>
      </c>
      <c r="B151" s="161"/>
      <c r="C151" s="161" t="s">
        <v>491</v>
      </c>
      <c r="D151" s="161" t="s">
        <v>40</v>
      </c>
      <c r="E151" s="209" t="s">
        <v>492</v>
      </c>
      <c r="F151" s="209" t="s">
        <v>493</v>
      </c>
      <c r="G151" s="161" t="s">
        <v>26</v>
      </c>
      <c r="H151" s="216">
        <v>6067.33</v>
      </c>
      <c r="I151" s="210">
        <v>8332</v>
      </c>
      <c r="J151" s="194">
        <f>H151*0.08</f>
        <v>485.3864</v>
      </c>
      <c r="K151" s="194">
        <f>I151*0.02</f>
        <v>166.64</v>
      </c>
      <c r="L151" s="194">
        <f>H151*0.005</f>
        <v>30.33665</v>
      </c>
      <c r="M151" s="195">
        <v>0.25</v>
      </c>
      <c r="N151" s="194">
        <v>170.59</v>
      </c>
      <c r="O151" s="197">
        <v>45901</v>
      </c>
      <c r="P151" s="197">
        <v>45901</v>
      </c>
      <c r="Q151" s="161">
        <f>DATEDIF(O151,P151,"M")+1</f>
        <v>1</v>
      </c>
    </row>
    <row r="152" s="140" customFormat="1" ht="34" customHeight="1" spans="1:17">
      <c r="A152" s="160">
        <v>147</v>
      </c>
      <c r="B152" s="161"/>
      <c r="C152" s="161" t="s">
        <v>494</v>
      </c>
      <c r="D152" s="161" t="s">
        <v>40</v>
      </c>
      <c r="E152" s="209" t="s">
        <v>495</v>
      </c>
      <c r="F152" s="209" t="s">
        <v>496</v>
      </c>
      <c r="G152" s="161" t="s">
        <v>26</v>
      </c>
      <c r="H152" s="216">
        <v>5799.33</v>
      </c>
      <c r="I152" s="210">
        <v>8332</v>
      </c>
      <c r="J152" s="194">
        <f>H152*0.08</f>
        <v>463.9464</v>
      </c>
      <c r="K152" s="194">
        <f>I152*0.02</f>
        <v>166.64</v>
      </c>
      <c r="L152" s="166">
        <f>H152*0.005</f>
        <v>28.99665</v>
      </c>
      <c r="M152" s="195">
        <v>0.25</v>
      </c>
      <c r="N152" s="194">
        <v>164.89</v>
      </c>
      <c r="O152" s="197">
        <v>45901</v>
      </c>
      <c r="P152" s="197">
        <v>45901</v>
      </c>
      <c r="Q152" s="161">
        <f>DATEDIF(O152,P152,"M")+1</f>
        <v>1</v>
      </c>
    </row>
    <row r="153" s="140" customFormat="1" ht="23" customHeight="1" spans="1:17">
      <c r="A153" s="160">
        <v>148</v>
      </c>
      <c r="B153" s="161" t="s">
        <v>497</v>
      </c>
      <c r="C153" s="161" t="s">
        <v>498</v>
      </c>
      <c r="D153" s="161" t="s">
        <v>23</v>
      </c>
      <c r="E153" s="209" t="s">
        <v>499</v>
      </c>
      <c r="F153" s="209" t="s">
        <v>500</v>
      </c>
      <c r="G153" s="161" t="s">
        <v>26</v>
      </c>
      <c r="H153" s="217">
        <v>5000</v>
      </c>
      <c r="I153" s="210">
        <v>8332</v>
      </c>
      <c r="J153" s="194">
        <f>H153*0.08</f>
        <v>400</v>
      </c>
      <c r="K153" s="194">
        <f>I153*0.02</f>
        <v>166.64</v>
      </c>
      <c r="L153" s="166">
        <f>H153*0.005</f>
        <v>25</v>
      </c>
      <c r="M153" s="195">
        <v>0.25</v>
      </c>
      <c r="N153" s="194">
        <f>(J153+K153+L153)*M153</f>
        <v>147.91</v>
      </c>
      <c r="O153" s="197">
        <v>45901</v>
      </c>
      <c r="P153" s="197">
        <v>45901</v>
      </c>
      <c r="Q153" s="161">
        <f>DATEDIF(O153,P153,"M")+1</f>
        <v>1</v>
      </c>
    </row>
    <row r="154" s="140" customFormat="1" ht="23" customHeight="1" spans="1:17">
      <c r="A154" s="160">
        <v>149</v>
      </c>
      <c r="B154" s="161"/>
      <c r="C154" s="161" t="s">
        <v>501</v>
      </c>
      <c r="D154" s="161" t="s">
        <v>23</v>
      </c>
      <c r="E154" s="209" t="s">
        <v>502</v>
      </c>
      <c r="F154" s="209" t="s">
        <v>503</v>
      </c>
      <c r="G154" s="161" t="s">
        <v>26</v>
      </c>
      <c r="H154" s="217">
        <v>6400</v>
      </c>
      <c r="I154" s="210">
        <v>8332</v>
      </c>
      <c r="J154" s="194">
        <f>H154*0.08</f>
        <v>512</v>
      </c>
      <c r="K154" s="194">
        <f>I154*0.02</f>
        <v>166.64</v>
      </c>
      <c r="L154" s="166">
        <f>H154*0.005</f>
        <v>32</v>
      </c>
      <c r="M154" s="195">
        <v>0.25</v>
      </c>
      <c r="N154" s="194">
        <f>(J154+K154+L154)*M154</f>
        <v>177.66</v>
      </c>
      <c r="O154" s="197">
        <v>45901</v>
      </c>
      <c r="P154" s="197">
        <v>45901</v>
      </c>
      <c r="Q154" s="161">
        <f>DATEDIF(O154,P154,"M")+1</f>
        <v>1</v>
      </c>
    </row>
    <row r="155" s="140" customFormat="1" ht="25" customHeight="1" spans="1:17">
      <c r="A155" s="160">
        <v>150</v>
      </c>
      <c r="B155" s="161" t="s">
        <v>504</v>
      </c>
      <c r="C155" s="161" t="s">
        <v>505</v>
      </c>
      <c r="D155" s="161" t="s">
        <v>23</v>
      </c>
      <c r="E155" s="209" t="s">
        <v>506</v>
      </c>
      <c r="F155" s="209" t="s">
        <v>507</v>
      </c>
      <c r="G155" s="168" t="s">
        <v>26</v>
      </c>
      <c r="H155" s="210">
        <v>4999</v>
      </c>
      <c r="I155" s="210">
        <v>8332</v>
      </c>
      <c r="J155" s="194">
        <f>H155*0.08</f>
        <v>399.92</v>
      </c>
      <c r="K155" s="194">
        <f>I155*0.02</f>
        <v>166.64</v>
      </c>
      <c r="L155" s="166">
        <f>H155*0.005</f>
        <v>24.995</v>
      </c>
      <c r="M155" s="195">
        <v>0.25</v>
      </c>
      <c r="N155" s="194">
        <v>147.89</v>
      </c>
      <c r="O155" s="197">
        <v>45901</v>
      </c>
      <c r="P155" s="197">
        <v>45901</v>
      </c>
      <c r="Q155" s="161">
        <f>DATEDIF(O155,P155,"M")+1</f>
        <v>1</v>
      </c>
    </row>
    <row r="156" s="140" customFormat="1" ht="23" customHeight="1" spans="1:17">
      <c r="A156" s="160">
        <v>151</v>
      </c>
      <c r="B156" s="163" t="s">
        <v>508</v>
      </c>
      <c r="C156" s="218" t="s">
        <v>509</v>
      </c>
      <c r="D156" s="161" t="s">
        <v>40</v>
      </c>
      <c r="E156" s="209" t="s">
        <v>510</v>
      </c>
      <c r="F156" s="209" t="s">
        <v>511</v>
      </c>
      <c r="G156" s="168" t="s">
        <v>26</v>
      </c>
      <c r="H156" s="217">
        <v>4999</v>
      </c>
      <c r="I156" s="210">
        <v>8332</v>
      </c>
      <c r="J156" s="194">
        <f>H156*0.08</f>
        <v>399.92</v>
      </c>
      <c r="K156" s="194">
        <f>I156*0.02</f>
        <v>166.64</v>
      </c>
      <c r="L156" s="166">
        <f>H156*0.005</f>
        <v>24.995</v>
      </c>
      <c r="M156" s="195">
        <v>0.25</v>
      </c>
      <c r="N156" s="194">
        <v>147.89</v>
      </c>
      <c r="O156" s="197">
        <v>45901</v>
      </c>
      <c r="P156" s="197">
        <v>45901</v>
      </c>
      <c r="Q156" s="161">
        <f>DATEDIF(O156,P156,"M")+1</f>
        <v>1</v>
      </c>
    </row>
    <row r="157" s="140" customFormat="1" ht="23" customHeight="1" spans="1:17">
      <c r="A157" s="160">
        <v>152</v>
      </c>
      <c r="B157" s="167"/>
      <c r="C157" s="161" t="s">
        <v>512</v>
      </c>
      <c r="D157" s="161" t="s">
        <v>40</v>
      </c>
      <c r="E157" s="209" t="s">
        <v>513</v>
      </c>
      <c r="F157" s="209" t="s">
        <v>514</v>
      </c>
      <c r="G157" s="168" t="s">
        <v>26</v>
      </c>
      <c r="H157" s="217">
        <v>4999</v>
      </c>
      <c r="I157" s="210">
        <v>8332</v>
      </c>
      <c r="J157" s="194">
        <f>H157*0.08</f>
        <v>399.92</v>
      </c>
      <c r="K157" s="194">
        <f>I157*0.02</f>
        <v>166.64</v>
      </c>
      <c r="L157" s="166">
        <f>H157*0.005</f>
        <v>24.995</v>
      </c>
      <c r="M157" s="195">
        <v>0.25</v>
      </c>
      <c r="N157" s="194">
        <v>147.89</v>
      </c>
      <c r="O157" s="197">
        <v>45901</v>
      </c>
      <c r="P157" s="197">
        <v>45901</v>
      </c>
      <c r="Q157" s="161">
        <f>DATEDIF(O157,P157,"M")+1</f>
        <v>1</v>
      </c>
    </row>
    <row r="158" s="140" customFormat="1" ht="25" customHeight="1" spans="1:17">
      <c r="A158" s="160">
        <v>153</v>
      </c>
      <c r="B158" s="161" t="s">
        <v>515</v>
      </c>
      <c r="C158" s="161" t="s">
        <v>516</v>
      </c>
      <c r="D158" s="161" t="s">
        <v>23</v>
      </c>
      <c r="E158" s="209" t="s">
        <v>517</v>
      </c>
      <c r="F158" s="209" t="s">
        <v>518</v>
      </c>
      <c r="G158" s="168" t="s">
        <v>26</v>
      </c>
      <c r="H158" s="217">
        <v>4999</v>
      </c>
      <c r="I158" s="210">
        <v>8332</v>
      </c>
      <c r="J158" s="194">
        <f>H158*0.08</f>
        <v>399.92</v>
      </c>
      <c r="K158" s="194">
        <f>I158*0.02</f>
        <v>166.64</v>
      </c>
      <c r="L158" s="166">
        <f>H158*0.005</f>
        <v>24.995</v>
      </c>
      <c r="M158" s="195">
        <v>0.25</v>
      </c>
      <c r="N158" s="194">
        <v>147.89</v>
      </c>
      <c r="O158" s="197">
        <v>45901</v>
      </c>
      <c r="P158" s="197">
        <v>45901</v>
      </c>
      <c r="Q158" s="161">
        <f>DATEDIF(O158,P158,"M")+1</f>
        <v>1</v>
      </c>
    </row>
    <row r="159" s="140" customFormat="1" ht="25" customHeight="1" spans="1:17">
      <c r="A159" s="160">
        <v>154</v>
      </c>
      <c r="B159" s="161" t="s">
        <v>519</v>
      </c>
      <c r="C159" s="167" t="s">
        <v>520</v>
      </c>
      <c r="D159" s="167" t="s">
        <v>40</v>
      </c>
      <c r="E159" s="219" t="s">
        <v>521</v>
      </c>
      <c r="F159" s="219" t="s">
        <v>522</v>
      </c>
      <c r="G159" s="219" t="s">
        <v>26</v>
      </c>
      <c r="H159" s="220">
        <v>4999</v>
      </c>
      <c r="I159" s="220">
        <v>8332</v>
      </c>
      <c r="J159" s="194">
        <f>H159*0.08</f>
        <v>399.92</v>
      </c>
      <c r="K159" s="194">
        <f>I159*0.02</f>
        <v>166.64</v>
      </c>
      <c r="L159" s="166">
        <f>H159*0.005</f>
        <v>24.995</v>
      </c>
      <c r="M159" s="195">
        <v>0.25</v>
      </c>
      <c r="N159" s="194">
        <v>147.89</v>
      </c>
      <c r="O159" s="197">
        <v>45901</v>
      </c>
      <c r="P159" s="197">
        <v>45901</v>
      </c>
      <c r="Q159" s="161">
        <f>DATEDIF(O159,P159,"M")+1</f>
        <v>1</v>
      </c>
    </row>
    <row r="160" s="140" customFormat="1" ht="25" customHeight="1" spans="1:17">
      <c r="A160" s="160">
        <v>155</v>
      </c>
      <c r="B160" s="161" t="s">
        <v>523</v>
      </c>
      <c r="C160" s="161" t="s">
        <v>524</v>
      </c>
      <c r="D160" s="161" t="s">
        <v>23</v>
      </c>
      <c r="E160" s="209" t="s">
        <v>525</v>
      </c>
      <c r="F160" s="209" t="s">
        <v>526</v>
      </c>
      <c r="G160" s="168" t="s">
        <v>26</v>
      </c>
      <c r="H160" s="210">
        <v>4999</v>
      </c>
      <c r="I160" s="210">
        <v>8332</v>
      </c>
      <c r="J160" s="194">
        <f>H160*0.08</f>
        <v>399.92</v>
      </c>
      <c r="K160" s="194">
        <f>I160*0.02</f>
        <v>166.64</v>
      </c>
      <c r="L160" s="166">
        <f>H160*0.005</f>
        <v>24.995</v>
      </c>
      <c r="M160" s="195">
        <v>0.25</v>
      </c>
      <c r="N160" s="194">
        <v>147.89</v>
      </c>
      <c r="O160" s="197">
        <v>45901</v>
      </c>
      <c r="P160" s="197">
        <v>45901</v>
      </c>
      <c r="Q160" s="161">
        <f>DATEDIF(O160,P160,"M")+1</f>
        <v>1</v>
      </c>
    </row>
    <row r="161" s="140" customFormat="1" ht="34" customHeight="1" spans="1:17">
      <c r="A161" s="160">
        <v>156</v>
      </c>
      <c r="B161" s="221" t="s">
        <v>527</v>
      </c>
      <c r="C161" s="221" t="s">
        <v>528</v>
      </c>
      <c r="D161" s="161" t="s">
        <v>40</v>
      </c>
      <c r="E161" s="209" t="s">
        <v>529</v>
      </c>
      <c r="F161" s="209" t="s">
        <v>530</v>
      </c>
      <c r="G161" s="168" t="s">
        <v>26</v>
      </c>
      <c r="H161" s="210">
        <v>4999</v>
      </c>
      <c r="I161" s="210">
        <v>8332</v>
      </c>
      <c r="J161" s="194">
        <f>H161*0.08</f>
        <v>399.92</v>
      </c>
      <c r="K161" s="194">
        <f>I161*0.02</f>
        <v>166.64</v>
      </c>
      <c r="L161" s="166">
        <f>H161*0.005</f>
        <v>24.995</v>
      </c>
      <c r="M161" s="195">
        <v>0.25</v>
      </c>
      <c r="N161" s="194">
        <v>147.89</v>
      </c>
      <c r="O161" s="197">
        <v>45901</v>
      </c>
      <c r="P161" s="197">
        <v>45901</v>
      </c>
      <c r="Q161" s="161">
        <f>DATEDIF(O161,P161,"M")+1</f>
        <v>1</v>
      </c>
    </row>
    <row r="162" s="140" customFormat="1" ht="23" customHeight="1" spans="1:17">
      <c r="A162" s="160">
        <v>157</v>
      </c>
      <c r="B162" s="221" t="s">
        <v>531</v>
      </c>
      <c r="C162" s="221" t="s">
        <v>532</v>
      </c>
      <c r="D162" s="161" t="s">
        <v>23</v>
      </c>
      <c r="E162" s="209" t="s">
        <v>533</v>
      </c>
      <c r="F162" s="209" t="s">
        <v>534</v>
      </c>
      <c r="G162" s="168" t="s">
        <v>26</v>
      </c>
      <c r="H162" s="210">
        <v>4999</v>
      </c>
      <c r="I162" s="210">
        <v>8332</v>
      </c>
      <c r="J162" s="194">
        <f>H162*0.08</f>
        <v>399.92</v>
      </c>
      <c r="K162" s="194">
        <f>I162*0.02</f>
        <v>166.64</v>
      </c>
      <c r="L162" s="166">
        <f>H162*0.005</f>
        <v>24.995</v>
      </c>
      <c r="M162" s="195">
        <v>0.25</v>
      </c>
      <c r="N162" s="194">
        <v>147.89</v>
      </c>
      <c r="O162" s="197">
        <v>45901</v>
      </c>
      <c r="P162" s="197">
        <v>45901</v>
      </c>
      <c r="Q162" s="161">
        <f>DATEDIF(O162,P162,"M")+1</f>
        <v>1</v>
      </c>
    </row>
    <row r="163" s="140" customFormat="1" ht="23" customHeight="1" spans="1:17">
      <c r="A163" s="160">
        <v>158</v>
      </c>
      <c r="B163" s="221"/>
      <c r="C163" s="221" t="s">
        <v>535</v>
      </c>
      <c r="D163" s="161" t="s">
        <v>23</v>
      </c>
      <c r="E163" s="209" t="s">
        <v>536</v>
      </c>
      <c r="F163" s="209" t="s">
        <v>537</v>
      </c>
      <c r="G163" s="168" t="s">
        <v>26</v>
      </c>
      <c r="H163" s="210">
        <v>4999</v>
      </c>
      <c r="I163" s="210">
        <v>8332</v>
      </c>
      <c r="J163" s="194">
        <f>H163*0.08</f>
        <v>399.92</v>
      </c>
      <c r="K163" s="194">
        <f>I163*0.02</f>
        <v>166.64</v>
      </c>
      <c r="L163" s="166">
        <f>H163*0.005</f>
        <v>24.995</v>
      </c>
      <c r="M163" s="195">
        <v>0.25</v>
      </c>
      <c r="N163" s="194">
        <v>147.89</v>
      </c>
      <c r="O163" s="197">
        <v>45901</v>
      </c>
      <c r="P163" s="197">
        <v>45901</v>
      </c>
      <c r="Q163" s="161">
        <f>DATEDIF(O163,P163,"M")+1</f>
        <v>1</v>
      </c>
    </row>
    <row r="164" s="140" customFormat="1" ht="23" customHeight="1" spans="1:17">
      <c r="A164" s="160">
        <v>159</v>
      </c>
      <c r="B164" s="221"/>
      <c r="C164" s="221" t="s">
        <v>538</v>
      </c>
      <c r="D164" s="161" t="s">
        <v>23</v>
      </c>
      <c r="E164" s="209" t="s">
        <v>539</v>
      </c>
      <c r="F164" s="209" t="s">
        <v>540</v>
      </c>
      <c r="G164" s="168" t="s">
        <v>26</v>
      </c>
      <c r="H164" s="210">
        <v>4999</v>
      </c>
      <c r="I164" s="210">
        <v>8332</v>
      </c>
      <c r="J164" s="194">
        <f>H164*0.08</f>
        <v>399.92</v>
      </c>
      <c r="K164" s="194">
        <f>I164*0.02</f>
        <v>166.64</v>
      </c>
      <c r="L164" s="166">
        <f>H164*0.005</f>
        <v>24.995</v>
      </c>
      <c r="M164" s="195">
        <v>0.25</v>
      </c>
      <c r="N164" s="194">
        <v>147.89</v>
      </c>
      <c r="O164" s="197">
        <v>45901</v>
      </c>
      <c r="P164" s="197">
        <v>45901</v>
      </c>
      <c r="Q164" s="161">
        <f>DATEDIF(O164,P164,"M")+1</f>
        <v>1</v>
      </c>
    </row>
    <row r="165" s="140" customFormat="1" ht="25" customHeight="1" spans="1:17">
      <c r="A165" s="160">
        <v>160</v>
      </c>
      <c r="B165" s="221" t="s">
        <v>541</v>
      </c>
      <c r="C165" s="222" t="s">
        <v>542</v>
      </c>
      <c r="D165" s="161" t="s">
        <v>23</v>
      </c>
      <c r="E165" s="209" t="s">
        <v>543</v>
      </c>
      <c r="F165" s="209" t="s">
        <v>544</v>
      </c>
      <c r="G165" s="168" t="s">
        <v>26</v>
      </c>
      <c r="H165" s="210">
        <v>4999</v>
      </c>
      <c r="I165" s="210">
        <v>8332</v>
      </c>
      <c r="J165" s="194">
        <f>H165*0.08</f>
        <v>399.92</v>
      </c>
      <c r="K165" s="194">
        <f>I165*0.02</f>
        <v>166.64</v>
      </c>
      <c r="L165" s="166">
        <f>H165*0.005</f>
        <v>24.995</v>
      </c>
      <c r="M165" s="195">
        <v>0.25</v>
      </c>
      <c r="N165" s="194">
        <v>147.89</v>
      </c>
      <c r="O165" s="197">
        <v>45901</v>
      </c>
      <c r="P165" s="197">
        <v>45901</v>
      </c>
      <c r="Q165" s="161">
        <f>DATEDIF(O165,P165,"M")+1</f>
        <v>1</v>
      </c>
    </row>
    <row r="166" s="140" customFormat="1" ht="23" customHeight="1" spans="1:17">
      <c r="A166" s="160">
        <v>161</v>
      </c>
      <c r="B166" s="221" t="s">
        <v>545</v>
      </c>
      <c r="C166" s="222" t="s">
        <v>546</v>
      </c>
      <c r="D166" s="222" t="s">
        <v>40</v>
      </c>
      <c r="E166" s="223" t="s">
        <v>547</v>
      </c>
      <c r="F166" s="223" t="s">
        <v>548</v>
      </c>
      <c r="G166" s="221" t="s">
        <v>26</v>
      </c>
      <c r="H166" s="224">
        <v>4999</v>
      </c>
      <c r="I166" s="210">
        <v>8332</v>
      </c>
      <c r="J166" s="194">
        <f>H166*0.08</f>
        <v>399.92</v>
      </c>
      <c r="K166" s="194">
        <f>I166*0.02</f>
        <v>166.64</v>
      </c>
      <c r="L166" s="166">
        <f>H166*0.005</f>
        <v>24.995</v>
      </c>
      <c r="M166" s="195">
        <v>0.25</v>
      </c>
      <c r="N166" s="194">
        <v>147.89</v>
      </c>
      <c r="O166" s="197">
        <v>45901</v>
      </c>
      <c r="P166" s="197">
        <v>45901</v>
      </c>
      <c r="Q166" s="161">
        <f>DATEDIF(O166,P166,"M")+1</f>
        <v>1</v>
      </c>
    </row>
    <row r="167" s="140" customFormat="1" ht="23" customHeight="1" spans="1:17">
      <c r="A167" s="160">
        <v>162</v>
      </c>
      <c r="B167" s="221"/>
      <c r="C167" s="222" t="s">
        <v>549</v>
      </c>
      <c r="D167" s="222" t="s">
        <v>40</v>
      </c>
      <c r="E167" s="223" t="s">
        <v>550</v>
      </c>
      <c r="F167" s="223" t="s">
        <v>551</v>
      </c>
      <c r="G167" s="221" t="s">
        <v>26</v>
      </c>
      <c r="H167" s="224">
        <v>4999</v>
      </c>
      <c r="I167" s="210">
        <v>8332</v>
      </c>
      <c r="J167" s="194">
        <f>H167*0.08</f>
        <v>399.92</v>
      </c>
      <c r="K167" s="194">
        <f>I167*0.02</f>
        <v>166.64</v>
      </c>
      <c r="L167" s="166">
        <f>H167*0.005</f>
        <v>24.995</v>
      </c>
      <c r="M167" s="195">
        <v>0.25</v>
      </c>
      <c r="N167" s="194">
        <v>147.89</v>
      </c>
      <c r="O167" s="197">
        <v>45901</v>
      </c>
      <c r="P167" s="197">
        <v>45901</v>
      </c>
      <c r="Q167" s="161">
        <f>DATEDIF(O167,P167,"M")+1</f>
        <v>1</v>
      </c>
    </row>
    <row r="168" s="140" customFormat="1" ht="23" customHeight="1" spans="1:17">
      <c r="A168" s="160">
        <v>163</v>
      </c>
      <c r="B168" s="221"/>
      <c r="C168" s="222" t="s">
        <v>552</v>
      </c>
      <c r="D168" s="222" t="s">
        <v>23</v>
      </c>
      <c r="E168" s="223" t="s">
        <v>553</v>
      </c>
      <c r="F168" s="223" t="s">
        <v>554</v>
      </c>
      <c r="G168" s="221" t="s">
        <v>26</v>
      </c>
      <c r="H168" s="224">
        <v>4999</v>
      </c>
      <c r="I168" s="210">
        <v>8332</v>
      </c>
      <c r="J168" s="194">
        <f>H168*0.08</f>
        <v>399.92</v>
      </c>
      <c r="K168" s="194">
        <f>I168*0.02</f>
        <v>166.64</v>
      </c>
      <c r="L168" s="166">
        <f>H168*0.005</f>
        <v>24.995</v>
      </c>
      <c r="M168" s="195">
        <v>0.25</v>
      </c>
      <c r="N168" s="194">
        <v>147.89</v>
      </c>
      <c r="O168" s="197">
        <v>45901</v>
      </c>
      <c r="P168" s="197">
        <v>45901</v>
      </c>
      <c r="Q168" s="161">
        <f>DATEDIF(O168,P168,"M")+1</f>
        <v>1</v>
      </c>
    </row>
    <row r="169" s="140" customFormat="1" ht="23" customHeight="1" spans="1:17">
      <c r="A169" s="160">
        <v>164</v>
      </c>
      <c r="B169" s="221"/>
      <c r="C169" s="222" t="s">
        <v>555</v>
      </c>
      <c r="D169" s="222" t="s">
        <v>23</v>
      </c>
      <c r="E169" s="223" t="s">
        <v>556</v>
      </c>
      <c r="F169" s="223" t="s">
        <v>557</v>
      </c>
      <c r="G169" s="221" t="s">
        <v>26</v>
      </c>
      <c r="H169" s="224">
        <v>4999</v>
      </c>
      <c r="I169" s="210">
        <v>8332</v>
      </c>
      <c r="J169" s="194">
        <f>H169*0.08</f>
        <v>399.92</v>
      </c>
      <c r="K169" s="194">
        <f>I169*0.02</f>
        <v>166.64</v>
      </c>
      <c r="L169" s="166">
        <f>H169*0.005</f>
        <v>24.995</v>
      </c>
      <c r="M169" s="195">
        <v>0.25</v>
      </c>
      <c r="N169" s="194">
        <v>147.89</v>
      </c>
      <c r="O169" s="197">
        <v>45901</v>
      </c>
      <c r="P169" s="197">
        <v>45901</v>
      </c>
      <c r="Q169" s="161">
        <f>DATEDIF(O169,P169,"M")+1</f>
        <v>1</v>
      </c>
    </row>
    <row r="170" s="140" customFormat="1" ht="23" customHeight="1" spans="1:17">
      <c r="A170" s="160">
        <v>165</v>
      </c>
      <c r="B170" s="221"/>
      <c r="C170" s="222" t="s">
        <v>558</v>
      </c>
      <c r="D170" s="222" t="s">
        <v>23</v>
      </c>
      <c r="E170" s="223" t="s">
        <v>559</v>
      </c>
      <c r="F170" s="223" t="s">
        <v>560</v>
      </c>
      <c r="G170" s="221" t="s">
        <v>26</v>
      </c>
      <c r="H170" s="224">
        <v>4999</v>
      </c>
      <c r="I170" s="210">
        <v>8332</v>
      </c>
      <c r="J170" s="194">
        <f>H170*0.08</f>
        <v>399.92</v>
      </c>
      <c r="K170" s="194">
        <f>I170*0.02</f>
        <v>166.64</v>
      </c>
      <c r="L170" s="166">
        <f>H170*0.005</f>
        <v>24.995</v>
      </c>
      <c r="M170" s="195">
        <v>0.25</v>
      </c>
      <c r="N170" s="194">
        <v>147.89</v>
      </c>
      <c r="O170" s="197">
        <v>45901</v>
      </c>
      <c r="P170" s="197">
        <v>45901</v>
      </c>
      <c r="Q170" s="161">
        <f>DATEDIF(O170,P170,"M")+1</f>
        <v>1</v>
      </c>
    </row>
    <row r="171" s="140" customFormat="1" ht="38" customHeight="1" spans="1:17">
      <c r="A171" s="160">
        <v>166</v>
      </c>
      <c r="B171" s="221" t="s">
        <v>561</v>
      </c>
      <c r="C171" s="222" t="s">
        <v>562</v>
      </c>
      <c r="D171" s="222" t="s">
        <v>23</v>
      </c>
      <c r="E171" s="223" t="s">
        <v>563</v>
      </c>
      <c r="F171" s="223" t="s">
        <v>564</v>
      </c>
      <c r="G171" s="202" t="s">
        <v>26</v>
      </c>
      <c r="H171" s="224">
        <v>4999</v>
      </c>
      <c r="I171" s="210">
        <v>8332</v>
      </c>
      <c r="J171" s="194">
        <f>H171*0.08</f>
        <v>399.92</v>
      </c>
      <c r="K171" s="194">
        <f>I171*0.02</f>
        <v>166.64</v>
      </c>
      <c r="L171" s="166">
        <f>H171*0.005</f>
        <v>24.995</v>
      </c>
      <c r="M171" s="195">
        <v>0.25</v>
      </c>
      <c r="N171" s="194">
        <v>147.89</v>
      </c>
      <c r="O171" s="197">
        <v>45901</v>
      </c>
      <c r="P171" s="197">
        <v>45901</v>
      </c>
      <c r="Q171" s="161">
        <f>DATEDIF(O171,P171,"M")+1</f>
        <v>1</v>
      </c>
    </row>
    <row r="172" s="140" customFormat="1" ht="25" customHeight="1" spans="1:17">
      <c r="A172" s="160">
        <v>167</v>
      </c>
      <c r="B172" s="221" t="s">
        <v>565</v>
      </c>
      <c r="C172" s="176" t="s">
        <v>566</v>
      </c>
      <c r="D172" s="161" t="s">
        <v>40</v>
      </c>
      <c r="E172" s="209" t="s">
        <v>567</v>
      </c>
      <c r="F172" s="225" t="s">
        <v>568</v>
      </c>
      <c r="G172" s="161" t="s">
        <v>26</v>
      </c>
      <c r="H172" s="210">
        <v>4999</v>
      </c>
      <c r="I172" s="210">
        <v>8332</v>
      </c>
      <c r="J172" s="194">
        <f>H172*0.08</f>
        <v>399.92</v>
      </c>
      <c r="K172" s="194">
        <f>I172*0.02</f>
        <v>166.64</v>
      </c>
      <c r="L172" s="166">
        <f>H172*0.005</f>
        <v>24.995</v>
      </c>
      <c r="M172" s="195">
        <v>0.25</v>
      </c>
      <c r="N172" s="194">
        <v>147.89</v>
      </c>
      <c r="O172" s="197">
        <v>45901</v>
      </c>
      <c r="P172" s="197">
        <v>45901</v>
      </c>
      <c r="Q172" s="161">
        <f>DATEDIF(O172,P172,"M")+1</f>
        <v>1</v>
      </c>
    </row>
    <row r="173" s="140" customFormat="1" ht="25" customHeight="1" spans="1:17">
      <c r="A173" s="160">
        <v>168</v>
      </c>
      <c r="B173" s="221" t="s">
        <v>569</v>
      </c>
      <c r="C173" s="222" t="s">
        <v>570</v>
      </c>
      <c r="D173" s="222" t="s">
        <v>23</v>
      </c>
      <c r="E173" s="223" t="s">
        <v>571</v>
      </c>
      <c r="F173" s="223" t="s">
        <v>572</v>
      </c>
      <c r="G173" s="161" t="s">
        <v>26</v>
      </c>
      <c r="H173" s="210">
        <v>4999</v>
      </c>
      <c r="I173" s="210">
        <v>8332</v>
      </c>
      <c r="J173" s="194">
        <f>H173*0.08</f>
        <v>399.92</v>
      </c>
      <c r="K173" s="194">
        <f>I173*0.02</f>
        <v>166.64</v>
      </c>
      <c r="L173" s="166">
        <f>H173*0.005</f>
        <v>24.995</v>
      </c>
      <c r="M173" s="195">
        <v>0.25</v>
      </c>
      <c r="N173" s="194">
        <v>147.89</v>
      </c>
      <c r="O173" s="197">
        <v>45901</v>
      </c>
      <c r="P173" s="197">
        <v>45901</v>
      </c>
      <c r="Q173" s="161">
        <f>DATEDIF(O173,P173,"M")+1</f>
        <v>1</v>
      </c>
    </row>
    <row r="174" s="140" customFormat="1" ht="25" customHeight="1" spans="1:17">
      <c r="A174" s="158">
        <v>169</v>
      </c>
      <c r="B174" s="221" t="s">
        <v>573</v>
      </c>
      <c r="C174" s="221" t="s">
        <v>574</v>
      </c>
      <c r="D174" s="221" t="s">
        <v>40</v>
      </c>
      <c r="E174" s="209" t="s">
        <v>575</v>
      </c>
      <c r="F174" s="209" t="s">
        <v>576</v>
      </c>
      <c r="G174" s="161" t="s">
        <v>26</v>
      </c>
      <c r="H174" s="210">
        <v>4999</v>
      </c>
      <c r="I174" s="210">
        <v>8332</v>
      </c>
      <c r="J174" s="194">
        <f>H174*0.08</f>
        <v>399.92</v>
      </c>
      <c r="K174" s="194">
        <f>I174*0.02</f>
        <v>166.64</v>
      </c>
      <c r="L174" s="166">
        <f>H174*0.005</f>
        <v>24.995</v>
      </c>
      <c r="M174" s="195">
        <v>0.25</v>
      </c>
      <c r="N174" s="194">
        <v>147.89</v>
      </c>
      <c r="O174" s="197">
        <v>45901</v>
      </c>
      <c r="P174" s="197">
        <v>45901</v>
      </c>
      <c r="Q174" s="161">
        <f>DATEDIF(O174,P174,"M")+1</f>
        <v>1</v>
      </c>
    </row>
    <row r="175" s="140" customFormat="1" ht="25" customHeight="1" spans="1:17">
      <c r="A175" s="158">
        <v>170</v>
      </c>
      <c r="B175" s="221" t="s">
        <v>577</v>
      </c>
      <c r="C175" s="221" t="s">
        <v>578</v>
      </c>
      <c r="D175" s="221" t="s">
        <v>23</v>
      </c>
      <c r="E175" s="209" t="s">
        <v>579</v>
      </c>
      <c r="F175" s="209" t="s">
        <v>580</v>
      </c>
      <c r="G175" s="161" t="s">
        <v>26</v>
      </c>
      <c r="H175" s="210">
        <v>4999</v>
      </c>
      <c r="I175" s="210">
        <v>8332</v>
      </c>
      <c r="J175" s="194">
        <f>H175*0.08</f>
        <v>399.92</v>
      </c>
      <c r="K175" s="194">
        <f>I175*0.02</f>
        <v>166.64</v>
      </c>
      <c r="L175" s="166">
        <f>H175*0.005</f>
        <v>24.995</v>
      </c>
      <c r="M175" s="195">
        <v>0.25</v>
      </c>
      <c r="N175" s="194">
        <v>147.89</v>
      </c>
      <c r="O175" s="197">
        <v>45901</v>
      </c>
      <c r="P175" s="197">
        <v>45901</v>
      </c>
      <c r="Q175" s="161">
        <f>DATEDIF(O175,P175,"M")+1</f>
        <v>1</v>
      </c>
    </row>
  </sheetData>
  <autoFilter ref="A5:Q175"/>
  <mergeCells count="42">
    <mergeCell ref="A1:Q1"/>
    <mergeCell ref="H2:I2"/>
    <mergeCell ref="J2:L2"/>
    <mergeCell ref="O5:P5"/>
    <mergeCell ref="A2:A4"/>
    <mergeCell ref="B2:B4"/>
    <mergeCell ref="B6:B23"/>
    <mergeCell ref="B25:B27"/>
    <mergeCell ref="B28:B35"/>
    <mergeCell ref="B36:B37"/>
    <mergeCell ref="B38:B40"/>
    <mergeCell ref="B41:B43"/>
    <mergeCell ref="B45:B46"/>
    <mergeCell ref="B49:B50"/>
    <mergeCell ref="B51:B62"/>
    <mergeCell ref="B64:B79"/>
    <mergeCell ref="B81:B85"/>
    <mergeCell ref="B88:B89"/>
    <mergeCell ref="B91:B93"/>
    <mergeCell ref="B96:B97"/>
    <mergeCell ref="B99:B107"/>
    <mergeCell ref="B108:B125"/>
    <mergeCell ref="B126:B148"/>
    <mergeCell ref="B150:B152"/>
    <mergeCell ref="B153:B154"/>
    <mergeCell ref="B156:B157"/>
    <mergeCell ref="B162:B164"/>
    <mergeCell ref="B166:B170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C153:C154">
    <cfRule type="expression" dxfId="0" priority="1" stopIfTrue="1">
      <formula>AND(COUNTIF($C$27:$C$28,C153)&gt;1,NOT(ISBLANK(C153)))</formula>
    </cfRule>
  </conditionalFormatting>
  <conditionalFormatting sqref="F156:F157">
    <cfRule type="expression" dxfId="1" priority="2" stopIfTrue="1">
      <formula>AND(COUNTIF($F$30:$F$31,F156)&gt;1,NOT(ISBLANK(F156)))</formula>
    </cfRule>
  </conditionalFormatting>
  <conditionalFormatting sqref="C6:C10 E11 F12:F14 E15 C16:C17">
    <cfRule type="expression" dxfId="2" priority="3" stopIfTrue="1">
      <formula>AND(COUNTIF($B$5:$B$9,C6)+COUNTIF(#REF!,C6)&gt;1,NOT(ISBLANK(C6)))</formula>
    </cfRule>
  </conditionalFormatting>
  <conditionalFormatting sqref="E6:E10 E16:E17">
    <cfRule type="expression" dxfId="3" priority="4" stopIfTrue="1">
      <formula>AND(COUNTIF($B$5:$B$9,E6)+COUNTIF(#REF!,E6)&gt;1,NOT(ISBLANK(E6)))</formula>
    </cfRule>
  </conditionalFormatting>
  <conditionalFormatting sqref="C18:F23">
    <cfRule type="expression" dxfId="4" priority="5" stopIfTrue="1">
      <formula>AND(COUNTIF($B$5:$B$9,C18)+COUNTIF(#REF!,C18)&gt;1,NOT(ISBLANK(C18)))</formula>
    </cfRule>
  </conditionalFormatting>
  <conditionalFormatting sqref="B150:B156 B158:B175">
    <cfRule type="expression" dxfId="5" priority="6" stopIfTrue="1">
      <formula>AND(COUNTIF($B$24:$B$30,B150)+COUNTIF($B$32:$B$49,B150)&gt;1,NOT(ISBLANK(B150)))</formula>
    </cfRule>
  </conditionalFormatting>
  <dataValidations count="1">
    <dataValidation type="list" allowBlank="1" showInputMessage="1" showErrorMessage="1" sqref="D108:D110">
      <formula1>"男,女"</formula1>
    </dataValidation>
  </dataValidations>
  <printOptions horizontalCentered="1"/>
  <pageMargins left="0.354166666666667" right="0.354166666666667" top="0.590277777777778" bottom="0.393055555555556" header="0.313888888888889" footer="0.313888888888889"/>
  <pageSetup paperSize="9" scale="70" fitToHeight="0" orientation="landscape" horizontalDpi="600" verticalDpi="300"/>
  <headerFooter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4"/>
  <sheetViews>
    <sheetView workbookViewId="0">
      <selection activeCell="B17" sqref="B17:D17"/>
    </sheetView>
  </sheetViews>
  <sheetFormatPr defaultColWidth="9" defaultRowHeight="14.4" outlineLevelCol="3"/>
  <cols>
    <col min="1" max="1" width="23.5" customWidth="1"/>
    <col min="2" max="2" width="29" customWidth="1"/>
    <col min="3" max="3" width="11.5" customWidth="1"/>
    <col min="4" max="4" width="36.0462962962963" customWidth="1"/>
  </cols>
  <sheetData>
    <row r="1" ht="78" customHeight="1" spans="1:4">
      <c r="A1" s="24" t="s">
        <v>581</v>
      </c>
      <c r="B1" s="24"/>
      <c r="C1" s="24"/>
      <c r="D1" s="24"/>
    </row>
    <row r="2" ht="27" customHeight="1" spans="1:4">
      <c r="A2" s="25" t="s">
        <v>582</v>
      </c>
      <c r="B2" s="26" t="s">
        <v>583</v>
      </c>
      <c r="C2" s="27"/>
      <c r="D2" s="28"/>
    </row>
    <row r="3" ht="34" customHeight="1" spans="1:4">
      <c r="A3" s="29" t="s">
        <v>584</v>
      </c>
      <c r="B3" s="53" t="s">
        <v>585</v>
      </c>
      <c r="C3" s="54"/>
      <c r="D3" s="55"/>
    </row>
    <row r="4" ht="37" customHeight="1" spans="1:4">
      <c r="A4" s="33"/>
      <c r="B4" s="44" t="s">
        <v>586</v>
      </c>
      <c r="C4" s="45"/>
      <c r="D4" s="46"/>
    </row>
    <row r="5" ht="30" customHeight="1" spans="1:4">
      <c r="A5" s="37"/>
      <c r="B5" s="56" t="s">
        <v>587</v>
      </c>
      <c r="C5" s="3"/>
      <c r="D5" s="57"/>
    </row>
    <row r="6" ht="24.75" customHeight="1" spans="1:4">
      <c r="A6" s="146" t="s">
        <v>588</v>
      </c>
      <c r="B6" s="25"/>
      <c r="C6" s="25" t="s">
        <v>589</v>
      </c>
      <c r="D6" s="25"/>
    </row>
    <row r="7" ht="13.5" customHeight="1" spans="1:4">
      <c r="A7" s="29" t="s">
        <v>590</v>
      </c>
      <c r="B7" s="41"/>
      <c r="C7" s="42"/>
      <c r="D7" s="43"/>
    </row>
    <row r="8" ht="15.6" spans="1:4">
      <c r="A8" s="33"/>
      <c r="B8" s="47"/>
      <c r="C8" s="48"/>
      <c r="D8" s="49"/>
    </row>
    <row r="9" ht="15.6" spans="1:4">
      <c r="A9" s="33"/>
      <c r="B9" s="44" t="s">
        <v>591</v>
      </c>
      <c r="C9" s="45"/>
      <c r="D9" s="46"/>
    </row>
    <row r="10" ht="15.6" spans="1:4">
      <c r="A10" s="33"/>
      <c r="B10" s="47"/>
      <c r="C10" s="48"/>
      <c r="D10" s="49"/>
    </row>
    <row r="11" ht="15.6" spans="1:4">
      <c r="A11" s="33"/>
      <c r="B11" s="47" t="s">
        <v>592</v>
      </c>
      <c r="C11" s="48"/>
      <c r="D11" s="49"/>
    </row>
    <row r="12" ht="15.6" spans="1:4">
      <c r="A12" s="37"/>
      <c r="B12" s="90" t="s">
        <v>593</v>
      </c>
      <c r="C12" s="91"/>
      <c r="D12" s="92"/>
    </row>
    <row r="13" ht="13.5" customHeight="1" spans="1:4">
      <c r="A13" s="29" t="s">
        <v>594</v>
      </c>
      <c r="B13" s="41"/>
      <c r="C13" s="42"/>
      <c r="D13" s="43"/>
    </row>
    <row r="14" ht="15.6" spans="1:4">
      <c r="A14" s="33"/>
      <c r="B14" s="47"/>
      <c r="C14" s="48"/>
      <c r="D14" s="49"/>
    </row>
    <row r="15" ht="15.6" spans="1:4">
      <c r="A15" s="33"/>
      <c r="B15" s="44" t="s">
        <v>591</v>
      </c>
      <c r="C15" s="45"/>
      <c r="D15" s="46"/>
    </row>
    <row r="16" ht="15.6" spans="1:4">
      <c r="A16" s="33"/>
      <c r="B16" s="47"/>
      <c r="C16" s="48"/>
      <c r="D16" s="49"/>
    </row>
    <row r="17" ht="15.6" spans="1:4">
      <c r="A17" s="33"/>
      <c r="B17" s="47" t="s">
        <v>592</v>
      </c>
      <c r="C17" s="48"/>
      <c r="D17" s="49"/>
    </row>
    <row r="18" ht="15.6" spans="1:4">
      <c r="A18" s="37"/>
      <c r="B18" s="90" t="s">
        <v>593</v>
      </c>
      <c r="C18" s="91"/>
      <c r="D18" s="92"/>
    </row>
    <row r="19" ht="72" customHeight="1" spans="1:4">
      <c r="A19" s="29" t="s">
        <v>595</v>
      </c>
      <c r="B19" s="53" t="s">
        <v>596</v>
      </c>
      <c r="C19" s="54"/>
      <c r="D19" s="55"/>
    </row>
    <row r="20" ht="15.6" spans="1:4">
      <c r="A20" s="33"/>
      <c r="B20" s="47"/>
      <c r="C20" s="48"/>
      <c r="D20" s="49"/>
    </row>
    <row r="21" ht="21" customHeight="1" spans="1:4">
      <c r="A21" s="33"/>
      <c r="B21" s="44" t="s">
        <v>591</v>
      </c>
      <c r="C21" s="45"/>
      <c r="D21" s="46"/>
    </row>
    <row r="22" ht="21" customHeight="1" spans="1:4">
      <c r="A22" s="33"/>
      <c r="B22" s="47" t="s">
        <v>592</v>
      </c>
      <c r="C22" s="48"/>
      <c r="D22" s="49"/>
    </row>
    <row r="23" ht="21" customHeight="1" spans="1:4">
      <c r="A23" s="37"/>
      <c r="B23" s="90" t="s">
        <v>597</v>
      </c>
      <c r="C23" s="91"/>
      <c r="D23" s="92"/>
    </row>
    <row r="24" ht="59.25" customHeight="1" spans="1:4">
      <c r="A24" s="29" t="s">
        <v>598</v>
      </c>
      <c r="B24" s="53" t="s">
        <v>599</v>
      </c>
      <c r="C24" s="54"/>
      <c r="D24" s="55"/>
    </row>
    <row r="25" ht="21.75" customHeight="1" spans="1:4">
      <c r="A25" s="33"/>
      <c r="B25" s="44" t="s">
        <v>600</v>
      </c>
      <c r="C25" s="45"/>
      <c r="D25" s="46"/>
    </row>
    <row r="26" ht="20.25" customHeight="1" spans="1:4">
      <c r="A26" s="33"/>
      <c r="B26" s="47" t="s">
        <v>601</v>
      </c>
      <c r="C26" s="48"/>
      <c r="D26" s="49"/>
    </row>
    <row r="27" ht="21" customHeight="1" spans="1:4">
      <c r="A27" s="37"/>
      <c r="B27" s="90" t="s">
        <v>602</v>
      </c>
      <c r="C27" s="91"/>
      <c r="D27" s="92"/>
    </row>
    <row r="28" ht="15.6" spans="1:4">
      <c r="A28" s="29" t="s">
        <v>603</v>
      </c>
      <c r="B28" s="41"/>
      <c r="C28" s="42"/>
      <c r="D28" s="43"/>
    </row>
    <row r="29" ht="15.6" spans="1:4">
      <c r="A29" s="33"/>
      <c r="B29" s="47"/>
      <c r="C29" s="48"/>
      <c r="D29" s="49"/>
    </row>
    <row r="30" ht="15.6" spans="1:4">
      <c r="A30" s="33"/>
      <c r="B30" s="47"/>
      <c r="C30" s="48"/>
      <c r="D30" s="49"/>
    </row>
    <row r="31" ht="15.6" spans="1:4">
      <c r="A31" s="33"/>
      <c r="B31" s="47" t="s">
        <v>604</v>
      </c>
      <c r="C31" s="48"/>
      <c r="D31" s="49"/>
    </row>
    <row r="32" ht="15.6" spans="1:4">
      <c r="A32" s="33"/>
      <c r="B32" s="47"/>
      <c r="C32" s="48"/>
      <c r="D32" s="49"/>
    </row>
    <row r="33" ht="15.6" spans="1:4">
      <c r="A33" s="33"/>
      <c r="B33" s="47" t="s">
        <v>592</v>
      </c>
      <c r="C33" s="48"/>
      <c r="D33" s="49"/>
    </row>
    <row r="34" ht="15.6" spans="1:4">
      <c r="A34" s="37"/>
      <c r="B34" s="90" t="s">
        <v>597</v>
      </c>
      <c r="C34" s="91"/>
      <c r="D34" s="92"/>
    </row>
  </sheetData>
  <mergeCells count="39">
    <mergeCell ref="A1:D1"/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A3:A5"/>
    <mergeCell ref="A7:A12"/>
    <mergeCell ref="A13:A18"/>
    <mergeCell ref="A19:A23"/>
    <mergeCell ref="A24:A27"/>
    <mergeCell ref="A28:A34"/>
  </mergeCells>
  <printOptions horizontalCentered="1"/>
  <pageMargins left="0.196527777777778" right="0.275" top="0.393055555555556" bottom="0.432638888888889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23"/>
  <sheetViews>
    <sheetView topLeftCell="A4" workbookViewId="0">
      <selection activeCell="B17" sqref="B17:D17"/>
    </sheetView>
  </sheetViews>
  <sheetFormatPr defaultColWidth="9" defaultRowHeight="14.4"/>
  <cols>
    <col min="1" max="1" width="3.62962962962963" customWidth="1"/>
    <col min="2" max="2" width="13.1296296296296" style="93" customWidth="1"/>
    <col min="3" max="3" width="5.87962962962963" style="93" customWidth="1"/>
    <col min="4" max="5" width="5" style="93" customWidth="1"/>
    <col min="6" max="6" width="7.25" style="93" customWidth="1"/>
    <col min="7" max="7" width="11.7777777777778" style="93" customWidth="1"/>
    <col min="8" max="8" width="8.37962962962963" style="93" customWidth="1"/>
    <col min="9" max="9" width="8.88888888888889" style="93" customWidth="1"/>
    <col min="10" max="10" width="7.37962962962963" style="93" customWidth="1"/>
    <col min="11" max="11" width="9.44444444444444" style="93" customWidth="1"/>
    <col min="12" max="12" width="7.12962962962963" style="93" customWidth="1"/>
    <col min="13" max="13" width="8.37962962962963" style="93" customWidth="1"/>
    <col min="14" max="14" width="8.44444444444444" style="93" customWidth="1"/>
    <col min="15" max="15" width="7.77777777777778" style="93" customWidth="1"/>
    <col min="16" max="16" width="7.12962962962963" style="93" customWidth="1"/>
    <col min="17" max="17" width="8.5" style="93" customWidth="1"/>
    <col min="18" max="18" width="9.37962962962963" style="93" customWidth="1"/>
    <col min="19" max="19" width="9.37962962962963" style="94" customWidth="1"/>
    <col min="20" max="20" width="10.25" style="94" customWidth="1"/>
    <col min="21" max="21" width="5.62962962962963" style="93" customWidth="1"/>
    <col min="26" max="26" width="9.37962962962963"/>
    <col min="28" max="28" width="9.37962962962963"/>
  </cols>
  <sheetData>
    <row r="1" ht="39.75" customHeight="1" spans="1:21">
      <c r="A1" s="2" t="s">
        <v>605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126"/>
      <c r="T1" s="126"/>
      <c r="U1" s="95"/>
    </row>
    <row r="2" ht="20.25" customHeight="1" spans="1:21">
      <c r="A2" s="73" t="s">
        <v>606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127"/>
      <c r="T2" s="127"/>
      <c r="U2" s="96"/>
    </row>
    <row r="3" ht="24.75" customHeight="1" spans="1:21">
      <c r="A3" s="60" t="s">
        <v>1</v>
      </c>
      <c r="B3" s="97" t="s">
        <v>2</v>
      </c>
      <c r="C3" s="97" t="s">
        <v>3</v>
      </c>
      <c r="D3" s="97" t="s">
        <v>4</v>
      </c>
      <c r="E3" s="97" t="s">
        <v>607</v>
      </c>
      <c r="F3" s="97" t="s">
        <v>5</v>
      </c>
      <c r="G3" s="97" t="s">
        <v>6</v>
      </c>
      <c r="H3" s="98" t="s">
        <v>8</v>
      </c>
      <c r="I3" s="98"/>
      <c r="J3" s="117" t="s">
        <v>608</v>
      </c>
      <c r="K3" s="117"/>
      <c r="L3" s="117"/>
      <c r="M3" s="117"/>
      <c r="N3" s="117" t="s">
        <v>609</v>
      </c>
      <c r="O3" s="117"/>
      <c r="P3" s="117"/>
      <c r="Q3" s="117"/>
      <c r="R3" s="128" t="s">
        <v>610</v>
      </c>
      <c r="S3" s="129" t="s">
        <v>611</v>
      </c>
      <c r="T3" s="130"/>
      <c r="U3" s="97" t="s">
        <v>13</v>
      </c>
    </row>
    <row r="4" ht="50.25" customHeight="1" spans="1:21">
      <c r="A4" s="62"/>
      <c r="B4" s="7"/>
      <c r="C4" s="7"/>
      <c r="D4" s="7"/>
      <c r="E4" s="7"/>
      <c r="F4" s="7"/>
      <c r="G4" s="7"/>
      <c r="H4" s="97" t="s">
        <v>14</v>
      </c>
      <c r="I4" s="97" t="s">
        <v>15</v>
      </c>
      <c r="J4" s="97" t="s">
        <v>612</v>
      </c>
      <c r="K4" s="97" t="s">
        <v>613</v>
      </c>
      <c r="L4" s="97" t="s">
        <v>614</v>
      </c>
      <c r="M4" s="97" t="s">
        <v>615</v>
      </c>
      <c r="N4" s="97" t="s">
        <v>16</v>
      </c>
      <c r="O4" s="97" t="s">
        <v>17</v>
      </c>
      <c r="P4" s="97" t="s">
        <v>614</v>
      </c>
      <c r="Q4" s="97" t="s">
        <v>615</v>
      </c>
      <c r="R4" s="131"/>
      <c r="S4" s="132"/>
      <c r="T4" s="133"/>
      <c r="U4" s="7"/>
    </row>
    <row r="5" ht="50.25" customHeight="1" spans="1:21">
      <c r="A5" s="62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131"/>
      <c r="S5" s="134" t="s">
        <v>19</v>
      </c>
      <c r="T5" s="134" t="s">
        <v>20</v>
      </c>
      <c r="U5" s="7"/>
    </row>
    <row r="6" ht="25.5" customHeight="1" spans="1:21">
      <c r="A6" s="5">
        <v>1</v>
      </c>
      <c r="B6" s="99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 t="s">
        <v>616</v>
      </c>
      <c r="N6" s="99">
        <v>14</v>
      </c>
      <c r="O6" s="99">
        <v>15</v>
      </c>
      <c r="P6" s="99">
        <v>16</v>
      </c>
      <c r="Q6" s="99" t="s">
        <v>617</v>
      </c>
      <c r="R6" s="99" t="s">
        <v>618</v>
      </c>
      <c r="S6" s="135"/>
      <c r="T6" s="135"/>
      <c r="U6" s="99">
        <f t="shared" ref="U6:U13" si="0">DATEDIF(S6,T6,"M")+1</f>
        <v>1</v>
      </c>
    </row>
    <row r="7" ht="45" customHeight="1" spans="1:27">
      <c r="A7" s="37">
        <v>1</v>
      </c>
      <c r="B7" s="12" t="s">
        <v>619</v>
      </c>
      <c r="C7" s="13" t="s">
        <v>620</v>
      </c>
      <c r="D7" s="13" t="s">
        <v>23</v>
      </c>
      <c r="E7" s="13" t="s">
        <v>621</v>
      </c>
      <c r="F7" s="226" t="s">
        <v>622</v>
      </c>
      <c r="G7" s="13">
        <v>13147104153</v>
      </c>
      <c r="H7" s="100">
        <v>6222</v>
      </c>
      <c r="I7" s="118">
        <v>7089</v>
      </c>
      <c r="J7" s="119">
        <f t="shared" ref="J7:J13" si="1">ROUND(H7*0.16,2)</f>
        <v>995.52</v>
      </c>
      <c r="K7" s="119">
        <f t="shared" ref="K7:K13" si="2">ROUND(I7*0.09,2)</f>
        <v>638.01</v>
      </c>
      <c r="L7" s="119">
        <f t="shared" ref="L7:L13" si="3">ROUND(H7*0.005,2)</f>
        <v>31.11</v>
      </c>
      <c r="M7" s="120">
        <f t="shared" ref="M7:M13" si="4">J7+K7+L7</f>
        <v>1664.64</v>
      </c>
      <c r="N7" s="119">
        <f t="shared" ref="N7:N13" si="5">ROUND(H7*0.08,2)</f>
        <v>497.76</v>
      </c>
      <c r="O7" s="119">
        <f t="shared" ref="O7:O13" si="6">ROUND(I7*0.02,2)</f>
        <v>141.78</v>
      </c>
      <c r="P7" s="119">
        <f t="shared" ref="P7:P13" si="7">ROUND(H7*0.005,2)</f>
        <v>31.11</v>
      </c>
      <c r="Q7" s="120">
        <f t="shared" ref="Q7:Q13" si="8">P7+O7+N7</f>
        <v>670.65</v>
      </c>
      <c r="R7" s="136">
        <f t="shared" ref="R7:R13" si="9">M7+Q7</f>
        <v>2335.29</v>
      </c>
      <c r="S7" s="137">
        <v>44136</v>
      </c>
      <c r="T7" s="138">
        <v>45017</v>
      </c>
      <c r="U7" s="13">
        <f>DATEDIF(S7,T7,"M")+1</f>
        <v>30</v>
      </c>
      <c r="X7">
        <f>J18+N18</f>
        <v>8506.56</v>
      </c>
      <c r="AA7">
        <f t="shared" ref="AA7:AA9" si="10">7089-H7</f>
        <v>867</v>
      </c>
    </row>
    <row r="8" ht="45" customHeight="1" spans="1:27">
      <c r="A8" s="25">
        <v>2</v>
      </c>
      <c r="B8" s="101" t="s">
        <v>623</v>
      </c>
      <c r="C8" s="13" t="s">
        <v>624</v>
      </c>
      <c r="D8" s="13" t="s">
        <v>23</v>
      </c>
      <c r="E8" s="13" t="s">
        <v>625</v>
      </c>
      <c r="F8" s="226" t="s">
        <v>626</v>
      </c>
      <c r="G8" s="13">
        <v>18139641443</v>
      </c>
      <c r="H8" s="102">
        <v>5292</v>
      </c>
      <c r="I8" s="121">
        <v>7089</v>
      </c>
      <c r="J8" s="119">
        <f>ROUND(H8*0.16,2)</f>
        <v>846.72</v>
      </c>
      <c r="K8" s="119">
        <f>ROUND(I8*0.09,2)</f>
        <v>638.01</v>
      </c>
      <c r="L8" s="119">
        <f>ROUND(H8*0.005,2)</f>
        <v>26.46</v>
      </c>
      <c r="M8" s="120">
        <f>J8+K8+L8</f>
        <v>1511.19</v>
      </c>
      <c r="N8" s="119">
        <f>ROUND(H8*0.08,2)</f>
        <v>423.36</v>
      </c>
      <c r="O8" s="119">
        <f>ROUND(I8*0.02,2)</f>
        <v>141.78</v>
      </c>
      <c r="P8" s="119">
        <f>ROUND(H8*0.005,2)</f>
        <v>26.46</v>
      </c>
      <c r="Q8" s="120">
        <f>P8+O8+N8</f>
        <v>591.6</v>
      </c>
      <c r="R8" s="136">
        <f>M8+Q8</f>
        <v>2102.79</v>
      </c>
      <c r="S8" s="137">
        <v>44531</v>
      </c>
      <c r="T8" s="138">
        <v>45017</v>
      </c>
      <c r="U8" s="13">
        <f>DATEDIF(S8,T8,"M")+1</f>
        <v>17</v>
      </c>
      <c r="V8" t="e">
        <f>R8+扩围专项补贴人员花名册!#REF!</f>
        <v>#REF!</v>
      </c>
      <c r="X8">
        <f>K18+O18</f>
        <v>5458.53</v>
      </c>
      <c r="AA8">
        <f>7089-H8</f>
        <v>1797</v>
      </c>
    </row>
    <row r="9" ht="45" customHeight="1" spans="1:28">
      <c r="A9" s="37">
        <v>3</v>
      </c>
      <c r="B9" s="103" t="s">
        <v>627</v>
      </c>
      <c r="C9" s="8" t="s">
        <v>628</v>
      </c>
      <c r="D9" s="8" t="s">
        <v>23</v>
      </c>
      <c r="E9" s="8" t="s">
        <v>625</v>
      </c>
      <c r="F9" s="227" t="s">
        <v>629</v>
      </c>
      <c r="G9" s="8">
        <v>18916176930</v>
      </c>
      <c r="H9" s="68">
        <v>5757</v>
      </c>
      <c r="I9" s="122">
        <v>7089</v>
      </c>
      <c r="J9" s="119">
        <f>ROUND(H9*0.16,2)</f>
        <v>921.12</v>
      </c>
      <c r="K9" s="119">
        <f>ROUND(I9*0.09,2)</f>
        <v>638.01</v>
      </c>
      <c r="L9" s="119">
        <f>ROUND(H9*0.005,2)</f>
        <v>28.79</v>
      </c>
      <c r="M9" s="120">
        <f>J9+K9+L9</f>
        <v>1587.92</v>
      </c>
      <c r="N9" s="119">
        <f>ROUND(H9*0.08,2)</f>
        <v>460.56</v>
      </c>
      <c r="O9" s="119">
        <f>ROUND(I9*0.02,2)</f>
        <v>141.78</v>
      </c>
      <c r="P9" s="119">
        <f>ROUND(H9*0.005,2)</f>
        <v>28.79</v>
      </c>
      <c r="Q9" s="120">
        <f>P9+O9+N9</f>
        <v>631.13</v>
      </c>
      <c r="R9" s="136">
        <f>M9+Q9</f>
        <v>2219.05</v>
      </c>
      <c r="S9" s="139" t="s">
        <v>630</v>
      </c>
      <c r="T9" s="138">
        <v>45017</v>
      </c>
      <c r="U9" s="13">
        <f>DATEDIF(S9,T9,"M")+1</f>
        <v>16</v>
      </c>
      <c r="V9" s="140" t="e">
        <f>R9+扩围专项补贴人员花名册!#REF!</f>
        <v>#REF!</v>
      </c>
      <c r="X9">
        <f>L18+P18</f>
        <v>354.48</v>
      </c>
      <c r="Y9">
        <f>4253-H9</f>
        <v>-1504</v>
      </c>
      <c r="Z9">
        <f>Y9*12</f>
        <v>-18048</v>
      </c>
      <c r="AA9">
        <f>7089-H9</f>
        <v>1332</v>
      </c>
      <c r="AB9">
        <f>(AA9+AA8+AA7)*12</f>
        <v>47952</v>
      </c>
    </row>
    <row r="10" ht="45" customHeight="1" spans="1:28">
      <c r="A10" s="25">
        <v>4</v>
      </c>
      <c r="B10" s="104" t="s">
        <v>631</v>
      </c>
      <c r="C10" s="8" t="s">
        <v>632</v>
      </c>
      <c r="D10" s="8" t="s">
        <v>23</v>
      </c>
      <c r="E10" s="8" t="s">
        <v>625</v>
      </c>
      <c r="F10" s="227" t="s">
        <v>633</v>
      </c>
      <c r="G10" s="8">
        <v>18626612921</v>
      </c>
      <c r="H10" s="68">
        <v>5087</v>
      </c>
      <c r="I10" s="122">
        <v>7089</v>
      </c>
      <c r="J10" s="119">
        <f>ROUND(H10*0.16,2)</f>
        <v>813.92</v>
      </c>
      <c r="K10" s="119">
        <f>ROUND(I10*0.09,2)</f>
        <v>638.01</v>
      </c>
      <c r="L10" s="119">
        <f>ROUND(H10*0.005,2)</f>
        <v>25.44</v>
      </c>
      <c r="M10" s="120">
        <f>J10+K10+L10</f>
        <v>1477.37</v>
      </c>
      <c r="N10" s="119">
        <f>ROUND(H10*0.08,2)</f>
        <v>406.96</v>
      </c>
      <c r="O10" s="119">
        <f>ROUND(I10*0.02,2)</f>
        <v>141.78</v>
      </c>
      <c r="P10" s="119">
        <f>ROUND(H10*0.005,2)</f>
        <v>25.44</v>
      </c>
      <c r="Q10" s="120">
        <f>P10+O10+N10</f>
        <v>574.18</v>
      </c>
      <c r="R10" s="136">
        <f>M10+Q10</f>
        <v>2051.55</v>
      </c>
      <c r="S10" s="138">
        <v>44986</v>
      </c>
      <c r="T10" s="138">
        <v>45017</v>
      </c>
      <c r="U10" s="13">
        <f>DATEDIF(S10,T10,"M")+1</f>
        <v>2</v>
      </c>
      <c r="V10" s="140"/>
      <c r="Z10">
        <f>Z9*0.245</f>
        <v>-4421.76</v>
      </c>
      <c r="AB10">
        <f>AB9*0.11</f>
        <v>5274.72</v>
      </c>
    </row>
    <row r="11" ht="45" customHeight="1" spans="1:22">
      <c r="A11" s="37">
        <v>5</v>
      </c>
      <c r="B11" s="104"/>
      <c r="C11" s="105" t="s">
        <v>634</v>
      </c>
      <c r="D11" s="106" t="s">
        <v>40</v>
      </c>
      <c r="E11" s="106" t="s">
        <v>625</v>
      </c>
      <c r="F11" s="228" t="s">
        <v>635</v>
      </c>
      <c r="G11" s="106">
        <v>18999120869</v>
      </c>
      <c r="H11" s="106">
        <v>4420</v>
      </c>
      <c r="I11" s="106">
        <v>7089</v>
      </c>
      <c r="J11" s="123">
        <f>ROUND(H11*0.16,2)</f>
        <v>707.2</v>
      </c>
      <c r="K11" s="123">
        <f>ROUND(I11*0.09,2)</f>
        <v>638.01</v>
      </c>
      <c r="L11" s="123">
        <f>ROUND(H11*0.005,2)</f>
        <v>22.1</v>
      </c>
      <c r="M11" s="124">
        <f>J11+K11+L11</f>
        <v>1367.31</v>
      </c>
      <c r="N11" s="123">
        <f>ROUND(H11*0.08,2)</f>
        <v>353.6</v>
      </c>
      <c r="O11" s="123">
        <f>ROUND(I11*0.02,2)</f>
        <v>141.78</v>
      </c>
      <c r="P11" s="123">
        <f>ROUND(H11*0.005,2)</f>
        <v>22.1</v>
      </c>
      <c r="Q11" s="124">
        <f>P11+O11+N11</f>
        <v>517.48</v>
      </c>
      <c r="R11" s="141">
        <f>M11+Q11</f>
        <v>1884.79</v>
      </c>
      <c r="S11" s="142">
        <v>45017</v>
      </c>
      <c r="T11" s="142">
        <v>45017</v>
      </c>
      <c r="U11" s="12">
        <f>DATEDIF(S11,T11,"M")+1</f>
        <v>1</v>
      </c>
      <c r="V11" s="140"/>
    </row>
    <row r="12" ht="45" customHeight="1" spans="1:22">
      <c r="A12" s="25">
        <v>6</v>
      </c>
      <c r="B12" s="107" t="s">
        <v>636</v>
      </c>
      <c r="C12" s="108" t="s">
        <v>637</v>
      </c>
      <c r="D12" s="108" t="s">
        <v>23</v>
      </c>
      <c r="E12" s="108" t="s">
        <v>625</v>
      </c>
      <c r="F12" s="109" t="s">
        <v>638</v>
      </c>
      <c r="G12" s="110">
        <v>19513315004</v>
      </c>
      <c r="H12" s="111">
        <v>4333</v>
      </c>
      <c r="I12" s="125">
        <v>7089</v>
      </c>
      <c r="J12" s="123">
        <f>ROUND(H12*0.16,2)</f>
        <v>693.28</v>
      </c>
      <c r="K12" s="123">
        <f>ROUND(I12*0.09,2)</f>
        <v>638.01</v>
      </c>
      <c r="L12" s="123">
        <f>ROUND(H12*0.005,2)</f>
        <v>21.67</v>
      </c>
      <c r="M12" s="124">
        <f>J12+K12+L12</f>
        <v>1352.96</v>
      </c>
      <c r="N12" s="123">
        <f>ROUND(H12*0.08,2)</f>
        <v>346.64</v>
      </c>
      <c r="O12" s="123">
        <f>ROUND(I12*0.02,2)</f>
        <v>141.78</v>
      </c>
      <c r="P12" s="123">
        <f>ROUND(H12*0.005,2)</f>
        <v>21.67</v>
      </c>
      <c r="Q12" s="124">
        <f>P12+O12+N12</f>
        <v>510.09</v>
      </c>
      <c r="R12" s="141">
        <f>M12+Q12</f>
        <v>1863.05</v>
      </c>
      <c r="S12" s="143" t="s">
        <v>639</v>
      </c>
      <c r="T12" s="142">
        <v>45017</v>
      </c>
      <c r="U12" s="12">
        <f>DATEDIF(S12,T12,"M")+1</f>
        <v>1</v>
      </c>
      <c r="V12" s="140"/>
    </row>
    <row r="13" ht="45" customHeight="1" spans="1:24">
      <c r="A13" s="37">
        <v>7</v>
      </c>
      <c r="B13" s="107"/>
      <c r="C13" s="108" t="s">
        <v>640</v>
      </c>
      <c r="D13" s="108" t="s">
        <v>40</v>
      </c>
      <c r="E13" s="108" t="s">
        <v>641</v>
      </c>
      <c r="F13" s="109" t="s">
        <v>642</v>
      </c>
      <c r="G13" s="110">
        <v>18199886761</v>
      </c>
      <c r="H13" s="111">
        <v>4333</v>
      </c>
      <c r="I13" s="125">
        <v>7089</v>
      </c>
      <c r="J13" s="123">
        <f>ROUND(H13*0.16,2)</f>
        <v>693.28</v>
      </c>
      <c r="K13" s="123">
        <f>ROUND(I13*0.09,2)</f>
        <v>638.01</v>
      </c>
      <c r="L13" s="123">
        <f>ROUND(H13*0.005,2)</f>
        <v>21.67</v>
      </c>
      <c r="M13" s="124">
        <f>J13+K13+L13</f>
        <v>1352.96</v>
      </c>
      <c r="N13" s="123">
        <f>ROUND(H13*0.08,2)</f>
        <v>346.64</v>
      </c>
      <c r="O13" s="123">
        <f>ROUND(I13*0.02,2)</f>
        <v>141.78</v>
      </c>
      <c r="P13" s="123">
        <f>ROUND(H13*0.005,2)</f>
        <v>21.67</v>
      </c>
      <c r="Q13" s="124">
        <f>P13+O13+N13</f>
        <v>510.09</v>
      </c>
      <c r="R13" s="141">
        <f>M13+Q13</f>
        <v>1863.05</v>
      </c>
      <c r="S13" s="143" t="s">
        <v>639</v>
      </c>
      <c r="T13" s="142">
        <v>45017</v>
      </c>
      <c r="U13" s="12">
        <f>DATEDIF(S13,T13,"M")+1</f>
        <v>1</v>
      </c>
      <c r="V13" s="140">
        <f t="shared" ref="V13:X13" si="11">J9+N9</f>
        <v>1381.68</v>
      </c>
      <c r="W13">
        <f>K9+O9</f>
        <v>779.79</v>
      </c>
      <c r="X13">
        <f>L9+P9</f>
        <v>57.58</v>
      </c>
    </row>
    <row r="14" ht="22.5" customHeight="1" spans="1:21">
      <c r="A14" s="37">
        <v>8</v>
      </c>
      <c r="B14" s="112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44"/>
      <c r="S14" s="145"/>
      <c r="T14" s="145"/>
      <c r="U14" s="99"/>
    </row>
    <row r="15" ht="22.5" customHeight="1" spans="1:21">
      <c r="A15" s="25">
        <v>9</v>
      </c>
      <c r="B15" s="112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44"/>
      <c r="S15" s="145"/>
      <c r="T15" s="145"/>
      <c r="U15" s="99"/>
    </row>
    <row r="16" ht="22.5" customHeight="1" spans="1:21">
      <c r="A16" s="37">
        <v>10</v>
      </c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44"/>
      <c r="S16" s="145"/>
      <c r="T16" s="145"/>
      <c r="U16" s="99"/>
    </row>
    <row r="17" ht="22.5" customHeight="1" spans="1:21">
      <c r="A17" s="25">
        <v>11</v>
      </c>
      <c r="B17" s="112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44"/>
      <c r="S17" s="145"/>
      <c r="T17" s="145"/>
      <c r="U17" s="99"/>
    </row>
    <row r="18" ht="22.5" customHeight="1" spans="1:21">
      <c r="A18" s="25" t="s">
        <v>643</v>
      </c>
      <c r="B18" s="112"/>
      <c r="C18" s="112"/>
      <c r="D18" s="112"/>
      <c r="E18" s="112"/>
      <c r="F18" s="112"/>
      <c r="G18" s="113"/>
      <c r="H18" s="114">
        <f>SUM(H7:H17)</f>
        <v>35444</v>
      </c>
      <c r="I18" s="114">
        <f t="shared" ref="H18:R18" si="12">SUM(I7:I17)</f>
        <v>49623</v>
      </c>
      <c r="J18" s="114">
        <f>SUM(J7:J17)</f>
        <v>5671.04</v>
      </c>
      <c r="K18" s="114">
        <f>SUM(K7:K17)</f>
        <v>4466.07</v>
      </c>
      <c r="L18" s="114">
        <f>SUM(L7:L17)</f>
        <v>177.24</v>
      </c>
      <c r="M18" s="114">
        <f>SUM(M7:M17)</f>
        <v>10314.35</v>
      </c>
      <c r="N18" s="114">
        <f>SUM(N7:N17)</f>
        <v>2835.52</v>
      </c>
      <c r="O18" s="114">
        <f>SUM(O7:O17)</f>
        <v>992.46</v>
      </c>
      <c r="P18" s="114">
        <f>SUM(P7:P17)</f>
        <v>177.24</v>
      </c>
      <c r="Q18" s="114">
        <f>SUM(Q7:Q17)</f>
        <v>4005.22</v>
      </c>
      <c r="R18" s="114">
        <f>SUM(R7:R17)</f>
        <v>14319.57</v>
      </c>
      <c r="S18" s="145"/>
      <c r="T18" s="145"/>
      <c r="U18" s="144"/>
    </row>
    <row r="19" ht="15.6" spans="1:17">
      <c r="A19" s="58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</row>
    <row r="20" ht="15.6" spans="1:17">
      <c r="A20" s="70" t="s">
        <v>644</v>
      </c>
      <c r="B20" s="116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</row>
    <row r="21" ht="15.6" spans="1:17">
      <c r="A21" s="58"/>
      <c r="B21" s="115"/>
      <c r="C21" s="115"/>
      <c r="D21" s="115"/>
      <c r="E21" s="115"/>
      <c r="F21" s="115"/>
      <c r="G21" s="115"/>
      <c r="H21" s="115"/>
      <c r="I21" s="115"/>
      <c r="J21" s="115"/>
      <c r="K21" s="115">
        <f>J18+N18</f>
        <v>8506.56</v>
      </c>
      <c r="L21" s="115"/>
      <c r="M21" s="115"/>
      <c r="N21" s="115"/>
      <c r="O21" s="115"/>
      <c r="P21" s="115"/>
      <c r="Q21" s="115"/>
    </row>
    <row r="22" spans="11:18">
      <c r="K22" s="93">
        <f>K18+O18</f>
        <v>5458.53</v>
      </c>
      <c r="R22" s="93" t="e">
        <f>R18+扩围专项补贴人员花名册!#REF!</f>
        <v>#REF!</v>
      </c>
    </row>
    <row r="23" spans="11:11">
      <c r="K23" s="93">
        <f>L18+P18</f>
        <v>354.48</v>
      </c>
    </row>
  </sheetData>
  <mergeCells count="28">
    <mergeCell ref="A1:U1"/>
    <mergeCell ref="A2:U2"/>
    <mergeCell ref="H3:I3"/>
    <mergeCell ref="J3:M3"/>
    <mergeCell ref="N3:Q3"/>
    <mergeCell ref="A18:F18"/>
    <mergeCell ref="A3:A5"/>
    <mergeCell ref="B3:B5"/>
    <mergeCell ref="B10:B11"/>
    <mergeCell ref="B12:B13"/>
    <mergeCell ref="C3:C5"/>
    <mergeCell ref="D3:D5"/>
    <mergeCell ref="E3:E5"/>
    <mergeCell ref="F3:F5"/>
    <mergeCell ref="G3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U3:U5"/>
    <mergeCell ref="S3:T4"/>
  </mergeCells>
  <printOptions horizontalCentered="1"/>
  <pageMargins left="0.196527777777778" right="0.15625" top="0.393055555555556" bottom="0.432638888888889" header="0.313888888888889" footer="0.313888888888889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4"/>
  <sheetViews>
    <sheetView workbookViewId="0">
      <selection activeCell="B3" sqref="B3:D3"/>
    </sheetView>
  </sheetViews>
  <sheetFormatPr defaultColWidth="9" defaultRowHeight="14.4" outlineLevelCol="3"/>
  <cols>
    <col min="1" max="1" width="21" customWidth="1"/>
    <col min="2" max="2" width="27.75" customWidth="1"/>
    <col min="3" max="3" width="20.8796296296296" customWidth="1"/>
    <col min="4" max="4" width="30.1296296296296" customWidth="1"/>
  </cols>
  <sheetData>
    <row r="1" ht="60.75" customHeight="1" spans="1:4">
      <c r="A1" s="2" t="s">
        <v>645</v>
      </c>
      <c r="B1" s="2"/>
      <c r="C1" s="2"/>
      <c r="D1" s="2"/>
    </row>
    <row r="2" ht="29.25" customHeight="1" spans="1:4">
      <c r="A2" s="25" t="s">
        <v>646</v>
      </c>
      <c r="B2" s="26" t="s">
        <v>647</v>
      </c>
      <c r="C2" s="27"/>
      <c r="D2" s="28"/>
    </row>
    <row r="3" ht="21.75" customHeight="1" spans="1:4">
      <c r="A3" s="29" t="s">
        <v>648</v>
      </c>
      <c r="B3" s="80" t="s">
        <v>649</v>
      </c>
      <c r="C3" s="81"/>
      <c r="D3" s="82"/>
    </row>
    <row r="4" ht="21.75" customHeight="1" spans="1:4">
      <c r="A4" s="33"/>
      <c r="B4" s="83" t="s">
        <v>650</v>
      </c>
      <c r="C4" s="84"/>
      <c r="D4" s="85"/>
    </row>
    <row r="5" ht="21.75" customHeight="1" spans="1:4">
      <c r="A5" s="37"/>
      <c r="B5" s="86" t="s">
        <v>651</v>
      </c>
      <c r="C5" s="87"/>
      <c r="D5" s="88"/>
    </row>
    <row r="6" ht="34.5" customHeight="1" spans="1:4">
      <c r="A6" s="25" t="s">
        <v>652</v>
      </c>
      <c r="B6" s="89"/>
      <c r="C6" s="27"/>
      <c r="D6" s="28"/>
    </row>
    <row r="7" ht="24" customHeight="1" spans="1:4">
      <c r="A7" s="29" t="s">
        <v>588</v>
      </c>
      <c r="B7" s="29"/>
      <c r="C7" s="29" t="s">
        <v>589</v>
      </c>
      <c r="D7" s="29"/>
    </row>
    <row r="8" ht="21.75" customHeight="1" spans="1:4">
      <c r="A8" s="29" t="s">
        <v>653</v>
      </c>
      <c r="B8" s="41"/>
      <c r="C8" s="42"/>
      <c r="D8" s="43"/>
    </row>
    <row r="9" ht="21.75" customHeight="1" spans="1:4">
      <c r="A9" s="33"/>
      <c r="B9" s="44" t="s">
        <v>591</v>
      </c>
      <c r="C9" s="45"/>
      <c r="D9" s="46"/>
    </row>
    <row r="10" ht="21.75" customHeight="1" spans="1:4">
      <c r="A10" s="33"/>
      <c r="B10" s="47"/>
      <c r="C10" s="48"/>
      <c r="D10" s="49"/>
    </row>
    <row r="11" ht="21.75" customHeight="1" spans="1:4">
      <c r="A11" s="33"/>
      <c r="B11" s="47" t="s">
        <v>592</v>
      </c>
      <c r="C11" s="48"/>
      <c r="D11" s="49"/>
    </row>
    <row r="12" ht="30" customHeight="1" spans="1:4">
      <c r="A12" s="37"/>
      <c r="B12" s="90" t="s">
        <v>654</v>
      </c>
      <c r="C12" s="91"/>
      <c r="D12" s="92"/>
    </row>
    <row r="13" ht="21.75" customHeight="1" spans="1:4">
      <c r="A13" s="29" t="s">
        <v>594</v>
      </c>
      <c r="B13" s="41"/>
      <c r="C13" s="42"/>
      <c r="D13" s="43"/>
    </row>
    <row r="14" ht="21.75" customHeight="1" spans="1:4">
      <c r="A14" s="33"/>
      <c r="B14" s="44" t="s">
        <v>591</v>
      </c>
      <c r="C14" s="45"/>
      <c r="D14" s="46"/>
    </row>
    <row r="15" ht="21.75" customHeight="1" spans="1:4">
      <c r="A15" s="33"/>
      <c r="B15" s="47"/>
      <c r="C15" s="48"/>
      <c r="D15" s="49"/>
    </row>
    <row r="16" ht="21.75" customHeight="1" spans="1:4">
      <c r="A16" s="33"/>
      <c r="B16" s="47" t="s">
        <v>592</v>
      </c>
      <c r="C16" s="48"/>
      <c r="D16" s="49"/>
    </row>
    <row r="17" ht="30" customHeight="1" spans="1:4">
      <c r="A17" s="37"/>
      <c r="B17" s="90" t="s">
        <v>654</v>
      </c>
      <c r="C17" s="91"/>
      <c r="D17" s="92"/>
    </row>
    <row r="18" ht="69.75" customHeight="1" spans="1:4">
      <c r="A18" s="29" t="s">
        <v>655</v>
      </c>
      <c r="B18" s="53" t="s">
        <v>656</v>
      </c>
      <c r="C18" s="54"/>
      <c r="D18" s="55"/>
    </row>
    <row r="19" ht="15.6" spans="1:4">
      <c r="A19" s="33"/>
      <c r="B19" s="47"/>
      <c r="C19" s="48"/>
      <c r="D19" s="49"/>
    </row>
    <row r="20" ht="20.25" customHeight="1" spans="1:4">
      <c r="A20" s="33"/>
      <c r="B20" s="44" t="s">
        <v>591</v>
      </c>
      <c r="C20" s="45"/>
      <c r="D20" s="46"/>
    </row>
    <row r="21" ht="15.6" spans="1:4">
      <c r="A21" s="33"/>
      <c r="B21" s="47" t="s">
        <v>592</v>
      </c>
      <c r="C21" s="48"/>
      <c r="D21" s="49"/>
    </row>
    <row r="22" ht="15.6" spans="1:4">
      <c r="A22" s="37"/>
      <c r="B22" s="90" t="s">
        <v>657</v>
      </c>
      <c r="C22" s="91"/>
      <c r="D22" s="92"/>
    </row>
    <row r="23" ht="48" customHeight="1" spans="1:4">
      <c r="A23" s="29" t="s">
        <v>658</v>
      </c>
      <c r="B23" s="53" t="s">
        <v>659</v>
      </c>
      <c r="C23" s="54"/>
      <c r="D23" s="55"/>
    </row>
    <row r="24" ht="15.6" spans="1:4">
      <c r="A24" s="33"/>
      <c r="B24" s="47"/>
      <c r="C24" s="48"/>
      <c r="D24" s="49"/>
    </row>
    <row r="25" ht="20.25" customHeight="1" spans="1:4">
      <c r="A25" s="33"/>
      <c r="B25" s="44" t="s">
        <v>660</v>
      </c>
      <c r="C25" s="45"/>
      <c r="D25" s="46"/>
    </row>
    <row r="26" ht="15.6" spans="1:4">
      <c r="A26" s="33"/>
      <c r="B26" s="47" t="s">
        <v>661</v>
      </c>
      <c r="C26" s="48"/>
      <c r="D26" s="49"/>
    </row>
    <row r="27" ht="15.6" spans="1:4">
      <c r="A27" s="33"/>
      <c r="B27" s="90" t="s">
        <v>662</v>
      </c>
      <c r="C27" s="91"/>
      <c r="D27" s="92"/>
    </row>
    <row r="28" ht="20.25" customHeight="1" spans="1:4">
      <c r="A28" s="29" t="s">
        <v>663</v>
      </c>
      <c r="B28" s="41"/>
      <c r="C28" s="42"/>
      <c r="D28" s="43"/>
    </row>
    <row r="29" ht="20.25" customHeight="1" spans="1:4">
      <c r="A29" s="33"/>
      <c r="B29" s="47"/>
      <c r="C29" s="48"/>
      <c r="D29" s="49"/>
    </row>
    <row r="30" ht="20.25" customHeight="1" spans="1:4">
      <c r="A30" s="33"/>
      <c r="B30" s="47" t="s">
        <v>664</v>
      </c>
      <c r="C30" s="48"/>
      <c r="D30" s="49"/>
    </row>
    <row r="31" ht="20.25" customHeight="1" spans="1:4">
      <c r="A31" s="33"/>
      <c r="B31" s="47"/>
      <c r="C31" s="48"/>
      <c r="D31" s="49"/>
    </row>
    <row r="32" ht="20.25" customHeight="1" spans="1:4">
      <c r="A32" s="33"/>
      <c r="B32" s="47" t="s">
        <v>592</v>
      </c>
      <c r="C32" s="48"/>
      <c r="D32" s="49"/>
    </row>
    <row r="33" ht="20.25" customHeight="1" spans="1:4">
      <c r="A33" s="37"/>
      <c r="B33" s="90" t="s">
        <v>665</v>
      </c>
      <c r="C33" s="91"/>
      <c r="D33" s="92"/>
    </row>
    <row r="34" ht="15.6" spans="1:4">
      <c r="A34" s="58"/>
      <c r="B34" s="58"/>
      <c r="C34" s="58"/>
      <c r="D34" s="58"/>
    </row>
  </sheetData>
  <mergeCells count="38">
    <mergeCell ref="A1:D1"/>
    <mergeCell ref="B2:D2"/>
    <mergeCell ref="B3:D3"/>
    <mergeCell ref="B4:D4"/>
    <mergeCell ref="B5:D5"/>
    <mergeCell ref="B6:D6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A3:A5"/>
    <mergeCell ref="A8:A12"/>
    <mergeCell ref="A13:A17"/>
    <mergeCell ref="A18:A22"/>
    <mergeCell ref="A23:A27"/>
    <mergeCell ref="A28:A33"/>
  </mergeCells>
  <printOptions horizontalCentered="1"/>
  <pageMargins left="0.354166666666667" right="0.235416666666667" top="0.432638888888889" bottom="0.747916666666667" header="0.313888888888889" footer="0.313888888888889"/>
  <pageSetup paperSize="9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19"/>
  <sheetViews>
    <sheetView workbookViewId="0">
      <selection activeCell="B3" sqref="B3:D4"/>
    </sheetView>
  </sheetViews>
  <sheetFormatPr defaultColWidth="9" defaultRowHeight="14.4"/>
  <cols>
    <col min="1" max="1" width="7.25" customWidth="1"/>
    <col min="2" max="2" width="33.3796296296296" customWidth="1"/>
    <col min="3" max="3" width="11.1296296296296" customWidth="1"/>
    <col min="4" max="4" width="13" customWidth="1"/>
    <col min="5" max="5" width="15.5" customWidth="1"/>
    <col min="6" max="6" width="13.8796296296296" customWidth="1"/>
    <col min="7" max="7" width="14.8796296296296" customWidth="1"/>
    <col min="8" max="8" width="14.25" customWidth="1"/>
  </cols>
  <sheetData>
    <row r="1" ht="38.25" customHeight="1" spans="1:9">
      <c r="A1" s="2" t="s">
        <v>666</v>
      </c>
      <c r="B1" s="2"/>
      <c r="C1" s="2"/>
      <c r="D1" s="2"/>
      <c r="E1" s="2"/>
      <c r="F1" s="2"/>
      <c r="G1" s="2"/>
      <c r="H1" s="2"/>
      <c r="I1" s="2"/>
    </row>
    <row r="2" ht="29.25" customHeight="1" spans="1:12">
      <c r="A2" s="73" t="s">
        <v>667</v>
      </c>
      <c r="B2" s="73"/>
      <c r="C2" s="73"/>
      <c r="D2" s="73"/>
      <c r="E2" s="74"/>
      <c r="F2" s="74"/>
      <c r="G2" s="74"/>
      <c r="H2" s="74"/>
      <c r="I2" s="73"/>
      <c r="J2" s="79"/>
      <c r="K2" s="79"/>
      <c r="L2" s="79"/>
    </row>
    <row r="3" ht="28.5" customHeight="1" spans="1:12">
      <c r="A3" s="25" t="s">
        <v>1</v>
      </c>
      <c r="B3" s="25" t="s">
        <v>2</v>
      </c>
      <c r="C3" s="41" t="s">
        <v>668</v>
      </c>
      <c r="D3" s="43"/>
      <c r="E3" s="25" t="s">
        <v>669</v>
      </c>
      <c r="F3" s="25" t="s">
        <v>670</v>
      </c>
      <c r="G3" s="25" t="s">
        <v>671</v>
      </c>
      <c r="H3" s="25" t="s">
        <v>672</v>
      </c>
      <c r="I3" s="25" t="s">
        <v>673</v>
      </c>
      <c r="J3" s="79"/>
      <c r="K3" s="79"/>
      <c r="L3" s="79"/>
    </row>
    <row r="4" ht="27.75" customHeight="1" spans="1:12">
      <c r="A4" s="25"/>
      <c r="B4" s="25"/>
      <c r="C4" s="75"/>
      <c r="D4" s="76" t="s">
        <v>674</v>
      </c>
      <c r="E4" s="25"/>
      <c r="F4" s="25"/>
      <c r="G4" s="25"/>
      <c r="H4" s="25"/>
      <c r="I4" s="25"/>
      <c r="J4" s="79"/>
      <c r="K4" s="79"/>
      <c r="L4" s="79"/>
    </row>
    <row r="5" ht="27" customHeight="1" spans="1:12">
      <c r="A5" s="25">
        <v>1</v>
      </c>
      <c r="B5" s="25" t="s">
        <v>675</v>
      </c>
      <c r="C5" s="25">
        <v>4</v>
      </c>
      <c r="D5" s="25">
        <v>2</v>
      </c>
      <c r="E5" s="37">
        <f>企业补差花名册!W6+企业补差花名册!W7+企业补差花名册!W8+企业补差花名册!W9</f>
        <v>2196.48</v>
      </c>
      <c r="F5" s="37"/>
      <c r="G5" s="37"/>
      <c r="H5" s="37">
        <f>G5+F5+E5</f>
        <v>2196.48</v>
      </c>
      <c r="I5" s="77"/>
      <c r="J5" s="79"/>
      <c r="K5" s="79"/>
      <c r="L5" s="79"/>
    </row>
    <row r="6" ht="27" customHeight="1" spans="1:12">
      <c r="A6" s="25">
        <v>2</v>
      </c>
      <c r="B6" s="25" t="s">
        <v>676</v>
      </c>
      <c r="C6" s="25">
        <v>1</v>
      </c>
      <c r="D6" s="25">
        <v>1</v>
      </c>
      <c r="E6" s="25">
        <f>企业补差花名册!W10</f>
        <v>27.8399999999999</v>
      </c>
      <c r="F6" s="25"/>
      <c r="G6" s="25"/>
      <c r="H6" s="37">
        <f t="shared" ref="H6:H15" si="0">G6+F6+E6</f>
        <v>27.8399999999999</v>
      </c>
      <c r="I6" s="77"/>
      <c r="J6" s="79"/>
      <c r="K6" s="79"/>
      <c r="L6" s="79"/>
    </row>
    <row r="7" ht="27" customHeight="1" spans="1:12">
      <c r="A7" s="25">
        <v>3</v>
      </c>
      <c r="B7" s="25" t="s">
        <v>677</v>
      </c>
      <c r="C7" s="25">
        <v>1</v>
      </c>
      <c r="D7" s="25">
        <v>0</v>
      </c>
      <c r="E7" s="25">
        <f>企业补差花名册!W11</f>
        <v>76.7999999999997</v>
      </c>
      <c r="F7" s="25"/>
      <c r="G7" s="25"/>
      <c r="H7" s="37">
        <f>G7+F7+E7</f>
        <v>76.7999999999997</v>
      </c>
      <c r="I7" s="77"/>
      <c r="J7" s="79"/>
      <c r="K7" s="79"/>
      <c r="L7" s="79"/>
    </row>
    <row r="8" ht="27" customHeight="1" spans="1:12">
      <c r="A8" s="25">
        <v>4</v>
      </c>
      <c r="B8" s="25" t="s">
        <v>678</v>
      </c>
      <c r="C8" s="25">
        <v>1</v>
      </c>
      <c r="D8" s="25">
        <v>1</v>
      </c>
      <c r="E8" s="25">
        <f>企业补差花名册!W12</f>
        <v>1607.04</v>
      </c>
      <c r="F8" s="25"/>
      <c r="G8" s="25"/>
      <c r="H8" s="37">
        <f>G8+F8+E8</f>
        <v>1607.04</v>
      </c>
      <c r="I8" s="77"/>
      <c r="J8" s="79"/>
      <c r="K8" s="79"/>
      <c r="L8" s="79"/>
    </row>
    <row r="9" ht="27" customHeight="1" spans="1:12">
      <c r="A9" s="25">
        <v>5</v>
      </c>
      <c r="B9" s="25" t="s">
        <v>679</v>
      </c>
      <c r="C9" s="25">
        <v>1</v>
      </c>
      <c r="D9" s="25">
        <v>1</v>
      </c>
      <c r="E9" s="25">
        <f>企业补差花名册!W13+企业补差花名册!W14</f>
        <v>1098.24</v>
      </c>
      <c r="F9" s="25"/>
      <c r="G9" s="25"/>
      <c r="H9" s="37">
        <f>G9+F9+E9</f>
        <v>1098.24</v>
      </c>
      <c r="I9" s="77"/>
      <c r="J9" s="79"/>
      <c r="K9" s="79"/>
      <c r="L9" s="79"/>
    </row>
    <row r="10" ht="27" customHeight="1" spans="1:12">
      <c r="A10" s="25">
        <v>6</v>
      </c>
      <c r="B10" s="25" t="s">
        <v>680</v>
      </c>
      <c r="C10" s="25">
        <v>1</v>
      </c>
      <c r="D10" s="25">
        <v>1</v>
      </c>
      <c r="E10" s="25"/>
      <c r="F10" s="25">
        <f>高校毕业生补差花名册!X6</f>
        <v>782.16</v>
      </c>
      <c r="G10" s="25"/>
      <c r="H10" s="37">
        <f>G10+F10+E10</f>
        <v>782.16</v>
      </c>
      <c r="I10" s="77"/>
      <c r="J10" s="79"/>
      <c r="K10" s="79"/>
      <c r="L10" s="79"/>
    </row>
    <row r="11" ht="27" customHeight="1" spans="1:12">
      <c r="A11" s="25">
        <v>7</v>
      </c>
      <c r="B11" s="25" t="s">
        <v>619</v>
      </c>
      <c r="C11" s="25">
        <v>1</v>
      </c>
      <c r="D11" s="25">
        <v>1</v>
      </c>
      <c r="E11" s="25"/>
      <c r="F11" s="25">
        <f>高校毕业生补差花名册!X8</f>
        <v>429.66</v>
      </c>
      <c r="G11" s="25"/>
      <c r="H11" s="37">
        <f>G11+F11+E11</f>
        <v>429.66</v>
      </c>
      <c r="I11" s="77"/>
      <c r="J11" s="79"/>
      <c r="K11" s="79"/>
      <c r="L11" s="79"/>
    </row>
    <row r="12" ht="27" customHeight="1" spans="1:12">
      <c r="A12" s="25">
        <v>8</v>
      </c>
      <c r="B12" s="25" t="s">
        <v>623</v>
      </c>
      <c r="C12" s="25">
        <v>1</v>
      </c>
      <c r="D12" s="25">
        <v>1</v>
      </c>
      <c r="E12" s="25"/>
      <c r="F12" s="25">
        <f>高校毕业生补差花名册!X9</f>
        <v>429.66</v>
      </c>
      <c r="G12" s="25"/>
      <c r="H12" s="37">
        <f>G12+F12+E12</f>
        <v>429.66</v>
      </c>
      <c r="I12" s="77"/>
      <c r="J12" s="79"/>
      <c r="K12" s="79"/>
      <c r="L12" s="79"/>
    </row>
    <row r="13" ht="27" customHeight="1" spans="1:12">
      <c r="A13" s="25">
        <v>9</v>
      </c>
      <c r="B13" s="13"/>
      <c r="C13" s="77"/>
      <c r="D13" s="77"/>
      <c r="E13" s="77"/>
      <c r="F13" s="77"/>
      <c r="G13" s="77"/>
      <c r="H13" s="37">
        <f>G13+F13+E13</f>
        <v>0</v>
      </c>
      <c r="I13" s="77"/>
      <c r="J13" s="79"/>
      <c r="K13" s="79"/>
      <c r="L13" s="79"/>
    </row>
    <row r="14" ht="27" customHeight="1" spans="1:12">
      <c r="A14" s="25">
        <v>10</v>
      </c>
      <c r="B14" s="77"/>
      <c r="C14" s="77"/>
      <c r="D14" s="77"/>
      <c r="E14" s="77"/>
      <c r="F14" s="77"/>
      <c r="G14" s="77"/>
      <c r="H14" s="37">
        <f>G14+F14+E14</f>
        <v>0</v>
      </c>
      <c r="I14" s="77"/>
      <c r="J14" s="79"/>
      <c r="K14" s="79"/>
      <c r="L14" s="79"/>
    </row>
    <row r="15" ht="27" customHeight="1" spans="1:12">
      <c r="A15" s="25" t="s">
        <v>681</v>
      </c>
      <c r="B15" s="77"/>
      <c r="C15" s="77"/>
      <c r="D15" s="77"/>
      <c r="E15" s="77"/>
      <c r="F15" s="77"/>
      <c r="G15" s="77"/>
      <c r="H15" s="37">
        <f>G15+F15+E15</f>
        <v>0</v>
      </c>
      <c r="I15" s="77"/>
      <c r="J15" s="79"/>
      <c r="K15" s="79"/>
      <c r="L15" s="79"/>
    </row>
    <row r="16" ht="27" customHeight="1" spans="1:12">
      <c r="A16" s="25" t="s">
        <v>682</v>
      </c>
      <c r="B16" s="25"/>
      <c r="C16" s="78">
        <f t="shared" ref="C16:H16" si="1">SUM(C5:C15)</f>
        <v>11</v>
      </c>
      <c r="D16" s="78">
        <f>SUM(D5:D15)</f>
        <v>8</v>
      </c>
      <c r="E16" s="78">
        <f>SUM(E5:E15)</f>
        <v>5006.4</v>
      </c>
      <c r="F16" s="78">
        <f>SUM(F5:F15)</f>
        <v>1641.48</v>
      </c>
      <c r="G16" s="78">
        <f>SUM(G5:G15)</f>
        <v>0</v>
      </c>
      <c r="H16" s="78">
        <f>SUM(H5:H15)</f>
        <v>6647.88</v>
      </c>
      <c r="I16" s="77"/>
      <c r="J16" s="79"/>
      <c r="K16" s="79"/>
      <c r="L16" s="79"/>
    </row>
    <row r="17" spans="1:12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</row>
    <row r="18" ht="15.6" spans="1:12">
      <c r="A18" s="70" t="s">
        <v>644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</row>
    <row r="19" spans="1:12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</row>
  </sheetData>
  <mergeCells count="11">
    <mergeCell ref="A1:I1"/>
    <mergeCell ref="A2:I2"/>
    <mergeCell ref="C3:D3"/>
    <mergeCell ref="A16:B16"/>
    <mergeCell ref="A3:A4"/>
    <mergeCell ref="B3:B4"/>
    <mergeCell ref="E3:E4"/>
    <mergeCell ref="F3:F4"/>
    <mergeCell ref="G3:G4"/>
    <mergeCell ref="H3:H4"/>
    <mergeCell ref="I3:I4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20"/>
  <sheetViews>
    <sheetView workbookViewId="0">
      <selection activeCell="B3" sqref="B3:D4"/>
    </sheetView>
  </sheetViews>
  <sheetFormatPr defaultColWidth="9" defaultRowHeight="14.4"/>
  <cols>
    <col min="1" max="1" width="5.37962962962963" customWidth="1"/>
    <col min="3" max="3" width="8.87962962962963" customWidth="1"/>
    <col min="4" max="4" width="4.25" customWidth="1"/>
    <col min="5" max="5" width="5.75" customWidth="1"/>
    <col min="6" max="6" width="19.5" customWidth="1"/>
    <col min="7" max="7" width="11.1296296296296" customWidth="1"/>
    <col min="8" max="8" width="5.12962962962963" customWidth="1"/>
    <col min="9" max="9" width="6.37962962962963" customWidth="1"/>
    <col min="10" max="11" width="6.62962962962963" customWidth="1"/>
    <col min="12" max="12" width="4.87962962962963" customWidth="1"/>
    <col min="13" max="13" width="0.12962962962963" hidden="1" customWidth="1"/>
    <col min="14" max="14" width="6.5" customWidth="1"/>
    <col min="15" max="15" width="6.62962962962963" customWidth="1"/>
    <col min="16" max="16" width="6.75" customWidth="1"/>
    <col min="17" max="17" width="5.5" customWidth="1"/>
    <col min="18" max="18" width="6.62962962962963" customWidth="1"/>
    <col min="19" max="19" width="5.87962962962963" customWidth="1"/>
    <col min="20" max="20" width="6.75" customWidth="1"/>
    <col min="21" max="21" width="9.12962962962963" customWidth="1"/>
    <col min="22" max="22" width="6.75" customWidth="1"/>
    <col min="23" max="23" width="9.87962962962963"/>
  </cols>
  <sheetData>
    <row r="1" ht="39" customHeight="1" spans="1:23">
      <c r="A1" s="2" t="s">
        <v>683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31.5" customHeight="1" spans="1:23">
      <c r="A2" s="3" t="s">
        <v>684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6.25" customHeight="1" spans="1:23">
      <c r="A3" s="4" t="s">
        <v>1</v>
      </c>
      <c r="B3" s="4" t="s">
        <v>2</v>
      </c>
      <c r="C3" s="4" t="s">
        <v>3</v>
      </c>
      <c r="D3" s="4" t="s">
        <v>4</v>
      </c>
      <c r="E3" s="4" t="s">
        <v>607</v>
      </c>
      <c r="F3" s="4" t="s">
        <v>5</v>
      </c>
      <c r="G3" s="6" t="s">
        <v>685</v>
      </c>
      <c r="H3" s="16" t="s">
        <v>686</v>
      </c>
      <c r="I3" s="17"/>
      <c r="J3" s="17"/>
      <c r="K3" s="18"/>
      <c r="L3" s="16" t="s">
        <v>687</v>
      </c>
      <c r="M3" s="17"/>
      <c r="N3" s="17"/>
      <c r="O3" s="17"/>
      <c r="P3" s="18"/>
      <c r="Q3" s="16" t="s">
        <v>688</v>
      </c>
      <c r="R3" s="17"/>
      <c r="S3" s="17"/>
      <c r="T3" s="18"/>
      <c r="U3" s="60" t="s">
        <v>689</v>
      </c>
      <c r="V3" s="60" t="s">
        <v>690</v>
      </c>
      <c r="W3" s="11" t="s">
        <v>691</v>
      </c>
    </row>
    <row r="4" ht="48" customHeight="1" spans="1:23">
      <c r="A4" s="4"/>
      <c r="B4" s="4"/>
      <c r="C4" s="4"/>
      <c r="D4" s="4"/>
      <c r="E4" s="4"/>
      <c r="F4" s="4"/>
      <c r="G4" s="9"/>
      <c r="H4" s="4" t="s">
        <v>692</v>
      </c>
      <c r="I4" s="11" t="s">
        <v>693</v>
      </c>
      <c r="J4" s="11" t="s">
        <v>694</v>
      </c>
      <c r="K4" s="11" t="s">
        <v>695</v>
      </c>
      <c r="L4" s="71" t="s">
        <v>692</v>
      </c>
      <c r="M4" s="72"/>
      <c r="N4" s="11" t="s">
        <v>693</v>
      </c>
      <c r="O4" s="11" t="s">
        <v>694</v>
      </c>
      <c r="P4" s="11" t="s">
        <v>695</v>
      </c>
      <c r="Q4" s="4" t="s">
        <v>692</v>
      </c>
      <c r="R4" s="11" t="s">
        <v>693</v>
      </c>
      <c r="S4" s="11" t="s">
        <v>694</v>
      </c>
      <c r="T4" s="11" t="s">
        <v>695</v>
      </c>
      <c r="U4" s="64"/>
      <c r="V4" s="64"/>
      <c r="W4" s="11"/>
    </row>
    <row r="5" s="1" customFormat="1" ht="24" customHeight="1" spans="1:23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 t="s">
        <v>696</v>
      </c>
      <c r="L5" s="5">
        <v>12</v>
      </c>
      <c r="M5" s="5"/>
      <c r="N5" s="5">
        <v>13</v>
      </c>
      <c r="O5" s="5">
        <v>14</v>
      </c>
      <c r="P5" s="5" t="s">
        <v>697</v>
      </c>
      <c r="Q5" s="5">
        <v>16</v>
      </c>
      <c r="R5" s="5">
        <v>17</v>
      </c>
      <c r="S5" s="5">
        <v>18</v>
      </c>
      <c r="T5" s="5" t="s">
        <v>698</v>
      </c>
      <c r="U5" s="5" t="s">
        <v>699</v>
      </c>
      <c r="V5" s="5">
        <v>21</v>
      </c>
      <c r="W5" s="5" t="s">
        <v>700</v>
      </c>
    </row>
    <row r="6" s="59" customFormat="1" ht="24" spans="1:23">
      <c r="A6" s="4">
        <v>1</v>
      </c>
      <c r="B6" s="60" t="s">
        <v>675</v>
      </c>
      <c r="C6" s="61" t="s">
        <v>701</v>
      </c>
      <c r="D6" s="13" t="s">
        <v>40</v>
      </c>
      <c r="E6" s="13" t="s">
        <v>625</v>
      </c>
      <c r="F6" s="13" t="s">
        <v>702</v>
      </c>
      <c r="G6" s="13" t="s">
        <v>703</v>
      </c>
      <c r="H6" s="13">
        <v>4253</v>
      </c>
      <c r="I6" s="13">
        <f>3681*0.16</f>
        <v>588.96</v>
      </c>
      <c r="J6" s="13">
        <f>H6*0.16</f>
        <v>680.48</v>
      </c>
      <c r="K6" s="13">
        <f>J6-I6</f>
        <v>91.52</v>
      </c>
      <c r="L6" s="13"/>
      <c r="M6" s="13"/>
      <c r="N6" s="13"/>
      <c r="O6" s="13"/>
      <c r="P6" s="13"/>
      <c r="Q6" s="13"/>
      <c r="R6" s="13"/>
      <c r="S6" s="13"/>
      <c r="T6" s="13"/>
      <c r="U6" s="13">
        <f t="shared" ref="U6:U14" si="0">T6+P6+K6</f>
        <v>91.52</v>
      </c>
      <c r="V6" s="13">
        <v>6</v>
      </c>
      <c r="W6" s="13">
        <f t="shared" ref="W6:W14" si="1">V6*U6</f>
        <v>549.12</v>
      </c>
    </row>
    <row r="7" s="59" customFormat="1" ht="24" spans="1:23">
      <c r="A7" s="4">
        <v>2</v>
      </c>
      <c r="B7" s="62"/>
      <c r="C7" s="61" t="s">
        <v>704</v>
      </c>
      <c r="D7" s="13" t="s">
        <v>40</v>
      </c>
      <c r="E7" s="13" t="s">
        <v>625</v>
      </c>
      <c r="F7" s="13" t="s">
        <v>705</v>
      </c>
      <c r="G7" s="13" t="s">
        <v>703</v>
      </c>
      <c r="H7" s="13">
        <v>4253</v>
      </c>
      <c r="I7" s="13">
        <f>3681*0.16</f>
        <v>588.96</v>
      </c>
      <c r="J7" s="13">
        <f>H7*0.16</f>
        <v>680.48</v>
      </c>
      <c r="K7" s="13">
        <f>J7-I7</f>
        <v>91.52</v>
      </c>
      <c r="L7" s="13"/>
      <c r="M7" s="13"/>
      <c r="N7" s="13"/>
      <c r="O7" s="13"/>
      <c r="P7" s="13"/>
      <c r="Q7" s="13"/>
      <c r="R7" s="13"/>
      <c r="S7" s="13"/>
      <c r="T7" s="13"/>
      <c r="U7" s="13">
        <f>T7+P7+K7</f>
        <v>91.52</v>
      </c>
      <c r="V7" s="13">
        <v>6</v>
      </c>
      <c r="W7" s="13">
        <f>V7*U7</f>
        <v>549.12</v>
      </c>
    </row>
    <row r="8" s="59" customFormat="1" ht="24" spans="1:23">
      <c r="A8" s="4">
        <v>3</v>
      </c>
      <c r="B8" s="62"/>
      <c r="C8" s="61" t="s">
        <v>706</v>
      </c>
      <c r="D8" s="13" t="s">
        <v>23</v>
      </c>
      <c r="E8" s="13" t="s">
        <v>625</v>
      </c>
      <c r="F8" s="63" t="s">
        <v>707</v>
      </c>
      <c r="G8" s="13" t="s">
        <v>703</v>
      </c>
      <c r="H8" s="63" t="s">
        <v>708</v>
      </c>
      <c r="I8" s="13">
        <f t="shared" ref="I8:I14" si="2">3681*0.16</f>
        <v>588.96</v>
      </c>
      <c r="J8" s="13">
        <f t="shared" ref="J8:J14" si="3">H8*0.16</f>
        <v>680.48</v>
      </c>
      <c r="K8" s="13">
        <f t="shared" ref="K8:K14" si="4">J8-I8</f>
        <v>91.52</v>
      </c>
      <c r="L8" s="63"/>
      <c r="M8" s="13"/>
      <c r="N8" s="63"/>
      <c r="O8" s="13"/>
      <c r="P8" s="63"/>
      <c r="Q8" s="13"/>
      <c r="R8" s="63"/>
      <c r="S8" s="13"/>
      <c r="T8" s="63"/>
      <c r="U8" s="13">
        <f>T8+P8+K8</f>
        <v>91.52</v>
      </c>
      <c r="V8" s="63" t="s">
        <v>709</v>
      </c>
      <c r="W8" s="13">
        <f>V8*U8</f>
        <v>549.12</v>
      </c>
    </row>
    <row r="9" s="59" customFormat="1" ht="36" spans="1:23">
      <c r="A9" s="4">
        <v>4</v>
      </c>
      <c r="B9" s="64"/>
      <c r="C9" s="61" t="s">
        <v>710</v>
      </c>
      <c r="D9" s="13" t="s">
        <v>23</v>
      </c>
      <c r="E9" s="13" t="s">
        <v>711</v>
      </c>
      <c r="F9" s="63" t="s">
        <v>712</v>
      </c>
      <c r="G9" s="13" t="s">
        <v>703</v>
      </c>
      <c r="H9" s="63" t="s">
        <v>708</v>
      </c>
      <c r="I9" s="13">
        <f>3681*0.16</f>
        <v>588.96</v>
      </c>
      <c r="J9" s="13">
        <f>H9*0.16</f>
        <v>680.48</v>
      </c>
      <c r="K9" s="13">
        <f>J9-I9</f>
        <v>91.52</v>
      </c>
      <c r="L9" s="63"/>
      <c r="M9" s="13"/>
      <c r="N9" s="63"/>
      <c r="O9" s="13"/>
      <c r="P9" s="63"/>
      <c r="Q9" s="13"/>
      <c r="R9" s="63"/>
      <c r="S9" s="13"/>
      <c r="T9" s="63"/>
      <c r="U9" s="13">
        <f>T9+P9+K9</f>
        <v>91.52</v>
      </c>
      <c r="V9" s="63" t="s">
        <v>709</v>
      </c>
      <c r="W9" s="13">
        <f>V9*U9</f>
        <v>549.12</v>
      </c>
    </row>
    <row r="10" s="59" customFormat="1" ht="48" spans="1:23">
      <c r="A10" s="4">
        <v>5</v>
      </c>
      <c r="B10" s="4" t="s">
        <v>676</v>
      </c>
      <c r="C10" s="65" t="s">
        <v>713</v>
      </c>
      <c r="D10" s="13" t="s">
        <v>23</v>
      </c>
      <c r="E10" s="66" t="s">
        <v>711</v>
      </c>
      <c r="F10" s="63" t="s">
        <v>714</v>
      </c>
      <c r="G10" s="13" t="s">
        <v>703</v>
      </c>
      <c r="H10" s="13">
        <v>4253</v>
      </c>
      <c r="I10" s="13">
        <f>4166*0.16</f>
        <v>666.56</v>
      </c>
      <c r="J10" s="13">
        <f>H10*0.16</f>
        <v>680.48</v>
      </c>
      <c r="K10" s="13">
        <f>J10-I10</f>
        <v>13.92</v>
      </c>
      <c r="L10" s="13"/>
      <c r="M10" s="13"/>
      <c r="N10" s="13"/>
      <c r="O10" s="13"/>
      <c r="P10" s="13"/>
      <c r="Q10" s="13"/>
      <c r="R10" s="13"/>
      <c r="S10" s="13"/>
      <c r="T10" s="13"/>
      <c r="U10" s="13">
        <f>T10+P10+K10</f>
        <v>13.92</v>
      </c>
      <c r="V10" s="63" t="s">
        <v>715</v>
      </c>
      <c r="W10" s="13">
        <f>V10*U10</f>
        <v>27.8399999999999</v>
      </c>
    </row>
    <row r="11" s="59" customFormat="1" ht="48" spans="1:23">
      <c r="A11" s="4">
        <v>6</v>
      </c>
      <c r="B11" s="4" t="s">
        <v>677</v>
      </c>
      <c r="C11" s="67" t="s">
        <v>716</v>
      </c>
      <c r="D11" s="13" t="s">
        <v>40</v>
      </c>
      <c r="E11" s="66" t="s">
        <v>625</v>
      </c>
      <c r="F11" s="226" t="s">
        <v>717</v>
      </c>
      <c r="G11" s="13" t="s">
        <v>703</v>
      </c>
      <c r="H11" s="13">
        <v>4253</v>
      </c>
      <c r="I11" s="13">
        <f>4173*0.16</f>
        <v>667.68</v>
      </c>
      <c r="J11" s="13">
        <f>H11*0.16</f>
        <v>680.48</v>
      </c>
      <c r="K11" s="13">
        <f>J11-I11</f>
        <v>12.8</v>
      </c>
      <c r="L11" s="13"/>
      <c r="M11" s="13"/>
      <c r="N11" s="13"/>
      <c r="O11" s="13"/>
      <c r="P11" s="13"/>
      <c r="Q11" s="13"/>
      <c r="R11" s="13"/>
      <c r="S11" s="13"/>
      <c r="T11" s="13"/>
      <c r="U11" s="13">
        <f>T11+P11+K11</f>
        <v>12.8</v>
      </c>
      <c r="V11" s="63" t="s">
        <v>709</v>
      </c>
      <c r="W11" s="13">
        <f>V11*U11</f>
        <v>76.7999999999997</v>
      </c>
    </row>
    <row r="12" s="59" customFormat="1" ht="48" spans="1:23">
      <c r="A12" s="4">
        <v>7</v>
      </c>
      <c r="B12" s="4" t="s">
        <v>678</v>
      </c>
      <c r="C12" s="13" t="s">
        <v>718</v>
      </c>
      <c r="D12" s="13" t="s">
        <v>23</v>
      </c>
      <c r="E12" s="13" t="s">
        <v>621</v>
      </c>
      <c r="F12" s="13" t="s">
        <v>719</v>
      </c>
      <c r="G12" s="13" t="s">
        <v>703</v>
      </c>
      <c r="H12" s="68">
        <v>21267</v>
      </c>
      <c r="I12" s="13">
        <f>19593*0.16</f>
        <v>3134.88</v>
      </c>
      <c r="J12" s="13">
        <f>H12*0.16</f>
        <v>3402.72</v>
      </c>
      <c r="K12" s="13">
        <f>J12-I12</f>
        <v>267.84</v>
      </c>
      <c r="L12" s="63"/>
      <c r="M12" s="13"/>
      <c r="N12" s="63"/>
      <c r="O12" s="13"/>
      <c r="P12" s="63"/>
      <c r="Q12" s="13"/>
      <c r="R12" s="63"/>
      <c r="S12" s="13"/>
      <c r="T12" s="63"/>
      <c r="U12" s="13">
        <f>T12+P12+K12</f>
        <v>267.84</v>
      </c>
      <c r="V12" s="63" t="s">
        <v>709</v>
      </c>
      <c r="W12" s="13">
        <f>V12*U12</f>
        <v>1607.04</v>
      </c>
    </row>
    <row r="13" s="59" customFormat="1" ht="24" spans="1:23">
      <c r="A13" s="4">
        <v>8</v>
      </c>
      <c r="B13" s="60" t="s">
        <v>679</v>
      </c>
      <c r="C13" s="13" t="s">
        <v>720</v>
      </c>
      <c r="D13" s="13" t="s">
        <v>23</v>
      </c>
      <c r="E13" s="13" t="s">
        <v>641</v>
      </c>
      <c r="F13" s="226" t="s">
        <v>721</v>
      </c>
      <c r="G13" s="13" t="s">
        <v>703</v>
      </c>
      <c r="H13" s="63" t="s">
        <v>708</v>
      </c>
      <c r="I13" s="13">
        <f>3681*0.16</f>
        <v>588.96</v>
      </c>
      <c r="J13" s="13">
        <f>H13*0.16</f>
        <v>680.48</v>
      </c>
      <c r="K13" s="13">
        <f>J13-I13</f>
        <v>91.52</v>
      </c>
      <c r="L13" s="63"/>
      <c r="M13" s="13"/>
      <c r="N13" s="63"/>
      <c r="O13" s="13"/>
      <c r="P13" s="63"/>
      <c r="Q13" s="13"/>
      <c r="R13" s="63"/>
      <c r="S13" s="13"/>
      <c r="T13" s="63"/>
      <c r="U13" s="13">
        <f>T13+P13+K13</f>
        <v>91.52</v>
      </c>
      <c r="V13" s="63" t="s">
        <v>709</v>
      </c>
      <c r="W13" s="13">
        <f>V13*U13</f>
        <v>549.12</v>
      </c>
    </row>
    <row r="14" s="59" customFormat="1" ht="24" spans="1:23">
      <c r="A14" s="4">
        <v>9</v>
      </c>
      <c r="B14" s="64"/>
      <c r="C14" s="13" t="s">
        <v>722</v>
      </c>
      <c r="D14" s="13" t="s">
        <v>40</v>
      </c>
      <c r="E14" s="13" t="s">
        <v>625</v>
      </c>
      <c r="F14" s="226" t="s">
        <v>723</v>
      </c>
      <c r="G14" s="13" t="s">
        <v>703</v>
      </c>
      <c r="H14" s="13">
        <v>4253</v>
      </c>
      <c r="I14" s="13">
        <f>3681*0.16</f>
        <v>588.96</v>
      </c>
      <c r="J14" s="13">
        <f>H14*0.16</f>
        <v>680.48</v>
      </c>
      <c r="K14" s="13">
        <f>J14-I14</f>
        <v>91.52</v>
      </c>
      <c r="L14" s="13"/>
      <c r="M14" s="13"/>
      <c r="N14" s="13"/>
      <c r="O14" s="13"/>
      <c r="P14" s="13"/>
      <c r="Q14" s="13"/>
      <c r="R14" s="13"/>
      <c r="S14" s="13"/>
      <c r="T14" s="13"/>
      <c r="U14" s="13">
        <f>T14+P14+K14</f>
        <v>91.52</v>
      </c>
      <c r="V14" s="63" t="s">
        <v>709</v>
      </c>
      <c r="W14" s="13">
        <f>V14*U14</f>
        <v>549.12</v>
      </c>
    </row>
    <row r="15" s="59" customFormat="1" ht="34" customHeight="1" spans="1:23">
      <c r="A15" s="4" t="s">
        <v>643</v>
      </c>
      <c r="B15" s="4"/>
      <c r="C15" s="4"/>
      <c r="D15" s="4"/>
      <c r="E15" s="4"/>
      <c r="F15" s="4"/>
      <c r="G15" s="4"/>
      <c r="H15" s="4">
        <f>SUM(H6:H14)</f>
        <v>42532</v>
      </c>
      <c r="I15" s="4">
        <f t="shared" ref="I15:W15" si="5">SUM(I6:I14)</f>
        <v>8002.88</v>
      </c>
      <c r="J15" s="4">
        <f>SUM(J6:J14)</f>
        <v>8846.56</v>
      </c>
      <c r="K15" s="4">
        <f>SUM(K6:K14)</f>
        <v>843.68</v>
      </c>
      <c r="L15" s="4">
        <f>SUM(L6:L14)</f>
        <v>0</v>
      </c>
      <c r="M15" s="4">
        <f>SUM(M6:M14)</f>
        <v>0</v>
      </c>
      <c r="N15" s="4">
        <f>SUM(N6:N14)</f>
        <v>0</v>
      </c>
      <c r="O15" s="4">
        <f>SUM(O6:O14)</f>
        <v>0</v>
      </c>
      <c r="P15" s="4">
        <f>SUM(P6:P14)</f>
        <v>0</v>
      </c>
      <c r="Q15" s="4">
        <f>SUM(Q6:Q14)</f>
        <v>0</v>
      </c>
      <c r="R15" s="4">
        <f>SUM(R6:R14)</f>
        <v>0</v>
      </c>
      <c r="S15" s="4">
        <f>SUM(S6:S14)</f>
        <v>0</v>
      </c>
      <c r="T15" s="4">
        <f>SUM(T6:T14)</f>
        <v>0</v>
      </c>
      <c r="U15" s="4">
        <f>SUM(U6:U14)</f>
        <v>843.68</v>
      </c>
      <c r="V15" s="4">
        <f>SUM(V6:V14)</f>
        <v>12</v>
      </c>
      <c r="W15" s="4">
        <f>W14+W13+W12+W11+W10+W9+W8+W7+W6</f>
        <v>5006.4</v>
      </c>
    </row>
    <row r="16" s="59" customFormat="1" ht="12"/>
    <row r="17" ht="42" customHeight="1" spans="1:23">
      <c r="A17" s="69" t="s">
        <v>724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</row>
    <row r="19" ht="15.6" spans="1:23">
      <c r="A19" s="70" t="s">
        <v>644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23:23">
      <c r="W20">
        <f>W15+高校毕业生补差花名册!V17+高校毕业生补差花名册!V40</f>
        <v>6647.88</v>
      </c>
    </row>
  </sheetData>
  <mergeCells count="22">
    <mergeCell ref="A1:W1"/>
    <mergeCell ref="A2:W2"/>
    <mergeCell ref="H3:K3"/>
    <mergeCell ref="L3:P3"/>
    <mergeCell ref="Q3:T3"/>
    <mergeCell ref="L4:M4"/>
    <mergeCell ref="L5:M5"/>
    <mergeCell ref="A15:G15"/>
    <mergeCell ref="A17:W17"/>
    <mergeCell ref="A19:W19"/>
    <mergeCell ref="A3:A4"/>
    <mergeCell ref="B3:B4"/>
    <mergeCell ref="B6:B9"/>
    <mergeCell ref="B13:B14"/>
    <mergeCell ref="C3:C4"/>
    <mergeCell ref="D3:D4"/>
    <mergeCell ref="E3:E4"/>
    <mergeCell ref="F3:F4"/>
    <mergeCell ref="G3:G4"/>
    <mergeCell ref="U3:U4"/>
    <mergeCell ref="V3:V4"/>
    <mergeCell ref="W3:W4"/>
  </mergeCells>
  <dataValidations count="2">
    <dataValidation type="list" allowBlank="1" showInputMessage="1" showErrorMessage="1" sqref="D10:D11">
      <formula1>"男,女"</formula1>
    </dataValidation>
    <dataValidation type="list" allowBlank="1" showInputMessage="1" showErrorMessage="1" sqref="E10:E11">
      <formula1>"汉族,回族,哈萨克族,维吾尔族,彝族,朝鲜族,蒙古族,其他民族"</formula1>
    </dataValidation>
  </dataValidations>
  <printOptions horizontalCentered="1"/>
  <pageMargins left="0.313888888888889" right="0.313888888888889" top="0.354166666666667" bottom="0.15625" header="0.313888888888889" footer="0.313888888888889"/>
  <pageSetup paperSize="9" scale="85" orientation="landscape"/>
  <headerFooter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workbookViewId="0">
      <selection activeCell="R39" sqref="R39"/>
    </sheetView>
  </sheetViews>
  <sheetFormatPr defaultColWidth="9" defaultRowHeight="14.4" outlineLevelCol="3"/>
  <cols>
    <col min="1" max="2" width="21.3796296296296" customWidth="1"/>
    <col min="3" max="3" width="14.6296296296296" customWidth="1"/>
    <col min="4" max="4" width="31" customWidth="1"/>
  </cols>
  <sheetData>
    <row r="1" ht="60.75" customHeight="1" spans="1:4">
      <c r="A1" s="24" t="s">
        <v>725</v>
      </c>
      <c r="B1" s="24"/>
      <c r="C1" s="24"/>
      <c r="D1" s="2"/>
    </row>
    <row r="2" ht="29.25" customHeight="1" spans="1:4">
      <c r="A2" s="25" t="s">
        <v>582</v>
      </c>
      <c r="B2" s="26" t="s">
        <v>726</v>
      </c>
      <c r="C2" s="27"/>
      <c r="D2" s="28"/>
    </row>
    <row r="3" ht="21.75" customHeight="1" spans="1:4">
      <c r="A3" s="29" t="s">
        <v>727</v>
      </c>
      <c r="B3" s="30" t="s">
        <v>728</v>
      </c>
      <c r="C3" s="31"/>
      <c r="D3" s="32"/>
    </row>
    <row r="4" ht="21.75" customHeight="1" spans="1:4">
      <c r="A4" s="33"/>
      <c r="B4" s="34" t="s">
        <v>729</v>
      </c>
      <c r="C4" s="35"/>
      <c r="D4" s="36"/>
    </row>
    <row r="5" ht="21.75" customHeight="1" spans="1:4">
      <c r="A5" s="37"/>
      <c r="B5" s="38" t="s">
        <v>730</v>
      </c>
      <c r="C5" s="39"/>
      <c r="D5" s="40"/>
    </row>
    <row r="6" ht="26.25" customHeight="1" spans="1:4">
      <c r="A6" s="29" t="s">
        <v>588</v>
      </c>
      <c r="B6" s="25"/>
      <c r="C6" s="25" t="s">
        <v>589</v>
      </c>
      <c r="D6" s="25"/>
    </row>
    <row r="7" ht="6" customHeight="1" spans="1:4">
      <c r="A7" s="29" t="s">
        <v>653</v>
      </c>
      <c r="B7" s="41"/>
      <c r="C7" s="42"/>
      <c r="D7" s="43"/>
    </row>
    <row r="8" ht="21.75" customHeight="1" spans="1:4">
      <c r="A8" s="33"/>
      <c r="B8" s="44" t="s">
        <v>591</v>
      </c>
      <c r="C8" s="45"/>
      <c r="D8" s="46"/>
    </row>
    <row r="9" ht="16" customHeight="1" spans="1:4">
      <c r="A9" s="33"/>
      <c r="B9" s="47"/>
      <c r="C9" s="48"/>
      <c r="D9" s="49"/>
    </row>
    <row r="10" ht="21.75" customHeight="1" spans="1:4">
      <c r="A10" s="33"/>
      <c r="B10" s="47" t="s">
        <v>592</v>
      </c>
      <c r="C10" s="48"/>
      <c r="D10" s="49"/>
    </row>
    <row r="11" ht="21" customHeight="1" spans="1:4">
      <c r="A11" s="37"/>
      <c r="B11" s="50" t="s">
        <v>657</v>
      </c>
      <c r="C11" s="51"/>
      <c r="D11" s="52"/>
    </row>
    <row r="12" ht="21.75" customHeight="1" spans="1:4">
      <c r="A12" s="29" t="s">
        <v>731</v>
      </c>
      <c r="B12" s="41"/>
      <c r="C12" s="42"/>
      <c r="D12" s="43"/>
    </row>
    <row r="13" ht="21.75" customHeight="1" spans="1:4">
      <c r="A13" s="33"/>
      <c r="B13" s="44" t="s">
        <v>591</v>
      </c>
      <c r="C13" s="45"/>
      <c r="D13" s="46"/>
    </row>
    <row r="14" ht="15" customHeight="1" spans="1:4">
      <c r="A14" s="33"/>
      <c r="B14" s="47"/>
      <c r="C14" s="48"/>
      <c r="D14" s="49"/>
    </row>
    <row r="15" ht="21.75" customHeight="1" spans="1:4">
      <c r="A15" s="33"/>
      <c r="B15" s="47" t="s">
        <v>592</v>
      </c>
      <c r="C15" s="48"/>
      <c r="D15" s="49"/>
    </row>
    <row r="16" ht="22" customHeight="1" spans="1:4">
      <c r="A16" s="37"/>
      <c r="B16" s="50" t="s">
        <v>732</v>
      </c>
      <c r="C16" s="51"/>
      <c r="D16" s="52"/>
    </row>
    <row r="17" ht="69.75" customHeight="1" spans="1:4">
      <c r="A17" s="29" t="s">
        <v>733</v>
      </c>
      <c r="B17" s="53" t="s">
        <v>734</v>
      </c>
      <c r="C17" s="54"/>
      <c r="D17" s="55"/>
    </row>
    <row r="18" ht="15.6" spans="1:4">
      <c r="A18" s="33"/>
      <c r="B18" s="47"/>
      <c r="C18" s="48"/>
      <c r="D18" s="49"/>
    </row>
    <row r="19" ht="20.25" customHeight="1" spans="1:4">
      <c r="A19" s="33"/>
      <c r="B19" s="44" t="s">
        <v>591</v>
      </c>
      <c r="C19" s="45"/>
      <c r="D19" s="46"/>
    </row>
    <row r="20" ht="15.6" spans="1:4">
      <c r="A20" s="33"/>
      <c r="B20" s="47" t="s">
        <v>592</v>
      </c>
      <c r="C20" s="48"/>
      <c r="D20" s="49"/>
    </row>
    <row r="21" ht="15.6" spans="1:4">
      <c r="A21" s="37"/>
      <c r="B21" s="56" t="s">
        <v>657</v>
      </c>
      <c r="C21" s="3"/>
      <c r="D21" s="57"/>
    </row>
    <row r="22" ht="60" customHeight="1" spans="1:4">
      <c r="A22" s="29" t="s">
        <v>658</v>
      </c>
      <c r="B22" s="53" t="s">
        <v>735</v>
      </c>
      <c r="C22" s="54"/>
      <c r="D22" s="55"/>
    </row>
    <row r="23" ht="15.6" spans="1:4">
      <c r="A23" s="33"/>
      <c r="B23" s="47"/>
      <c r="C23" s="48"/>
      <c r="D23" s="49"/>
    </row>
    <row r="24" ht="20.25" customHeight="1" spans="1:4">
      <c r="A24" s="33"/>
      <c r="B24" s="44" t="s">
        <v>736</v>
      </c>
      <c r="C24" s="45"/>
      <c r="D24" s="46"/>
    </row>
    <row r="25" ht="15.6" spans="1:4">
      <c r="A25" s="33"/>
      <c r="B25" s="47" t="s">
        <v>661</v>
      </c>
      <c r="C25" s="48"/>
      <c r="D25" s="49"/>
    </row>
    <row r="26" ht="15.6" spans="1:4">
      <c r="A26" s="33"/>
      <c r="B26" s="56" t="s">
        <v>662</v>
      </c>
      <c r="C26" s="3"/>
      <c r="D26" s="57"/>
    </row>
    <row r="27" ht="12" customHeight="1" spans="1:4">
      <c r="A27" s="29" t="s">
        <v>663</v>
      </c>
      <c r="B27" s="41"/>
      <c r="C27" s="42"/>
      <c r="D27" s="43"/>
    </row>
    <row r="28" ht="6" customHeight="1" spans="1:4">
      <c r="A28" s="33"/>
      <c r="B28" s="47"/>
      <c r="C28" s="48"/>
      <c r="D28" s="49"/>
    </row>
    <row r="29" ht="20.25" customHeight="1" spans="1:4">
      <c r="A29" s="33"/>
      <c r="B29" s="47" t="s">
        <v>664</v>
      </c>
      <c r="C29" s="48"/>
      <c r="D29" s="49"/>
    </row>
    <row r="30" ht="20.25" customHeight="1" spans="1:4">
      <c r="A30" s="33"/>
      <c r="B30" s="47"/>
      <c r="C30" s="48"/>
      <c r="D30" s="49"/>
    </row>
    <row r="31" ht="20.25" customHeight="1" spans="1:4">
      <c r="A31" s="33"/>
      <c r="B31" s="47" t="s">
        <v>592</v>
      </c>
      <c r="C31" s="48"/>
      <c r="D31" s="49"/>
    </row>
    <row r="32" ht="20.25" customHeight="1" spans="1:4">
      <c r="A32" s="37"/>
      <c r="B32" s="50" t="s">
        <v>665</v>
      </c>
      <c r="C32" s="51"/>
      <c r="D32" s="52"/>
    </row>
    <row r="33" ht="15.6" spans="1:4">
      <c r="A33" s="58"/>
      <c r="B33" s="58"/>
      <c r="C33" s="58"/>
      <c r="D33" s="58"/>
    </row>
  </sheetData>
  <mergeCells count="37">
    <mergeCell ref="A1:D1"/>
    <mergeCell ref="B2:D2"/>
    <mergeCell ref="B3:D3"/>
    <mergeCell ref="B4:D4"/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A3:A5"/>
    <mergeCell ref="A7:A11"/>
    <mergeCell ref="A12:A16"/>
    <mergeCell ref="A17:A21"/>
    <mergeCell ref="A22:A26"/>
    <mergeCell ref="A27:A32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46"/>
  <sheetViews>
    <sheetView workbookViewId="0">
      <selection activeCell="R39" sqref="R39"/>
    </sheetView>
  </sheetViews>
  <sheetFormatPr defaultColWidth="9" defaultRowHeight="14.4"/>
  <cols>
    <col min="1" max="1" width="4" customWidth="1"/>
    <col min="3" max="3" width="5.37962962962963" customWidth="1"/>
    <col min="4" max="5" width="4.62962962962963" customWidth="1"/>
    <col min="6" max="6" width="6.25" customWidth="1"/>
    <col min="8" max="8" width="5.25" customWidth="1"/>
    <col min="9" max="9" width="6.5" customWidth="1"/>
    <col min="10" max="10" width="6.62962962962963" customWidth="1"/>
    <col min="11" max="11" width="5.75" customWidth="1"/>
    <col min="12" max="12" width="5.62962962962963" customWidth="1"/>
    <col min="13" max="13" width="6.12962962962963" customWidth="1"/>
    <col min="14" max="14" width="6.25" customWidth="1"/>
    <col min="15" max="15" width="5.87962962962963" customWidth="1"/>
    <col min="16" max="16" width="5.62962962962963" customWidth="1"/>
    <col min="17" max="17" width="6.12962962962963" customWidth="1"/>
    <col min="18" max="18" width="6.25" customWidth="1"/>
    <col min="19" max="19" width="6.62962962962963" customWidth="1"/>
    <col min="20" max="20" width="9.87962962962963"/>
    <col min="21" max="21" width="4.87962962962963" customWidth="1"/>
    <col min="22" max="22" width="8.75" customWidth="1"/>
  </cols>
  <sheetData>
    <row r="1" ht="44.25" customHeight="1" spans="1:22">
      <c r="A1" s="2" t="s">
        <v>737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="1" customFormat="1" ht="28.5" customHeight="1" spans="1:22">
      <c r="A2" s="3" t="s">
        <v>684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31.5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4" t="s">
        <v>607</v>
      </c>
      <c r="F3" s="4" t="s">
        <v>5</v>
      </c>
      <c r="G3" s="4" t="s">
        <v>685</v>
      </c>
      <c r="H3" s="4" t="s">
        <v>686</v>
      </c>
      <c r="I3" s="4"/>
      <c r="J3" s="4"/>
      <c r="K3" s="4"/>
      <c r="L3" s="4" t="s">
        <v>738</v>
      </c>
      <c r="M3" s="4"/>
      <c r="N3" s="4"/>
      <c r="O3" s="4"/>
      <c r="P3" s="4" t="s">
        <v>739</v>
      </c>
      <c r="Q3" s="4"/>
      <c r="R3" s="4"/>
      <c r="S3" s="4"/>
      <c r="T3" s="4" t="s">
        <v>740</v>
      </c>
      <c r="U3" s="4" t="s">
        <v>690</v>
      </c>
      <c r="V3" s="4" t="s">
        <v>741</v>
      </c>
    </row>
    <row r="4" ht="35.25" customHeight="1" spans="1:22">
      <c r="A4" s="4"/>
      <c r="B4" s="4"/>
      <c r="C4" s="4"/>
      <c r="D4" s="4"/>
      <c r="E4" s="4"/>
      <c r="F4" s="4"/>
      <c r="G4" s="4"/>
      <c r="H4" s="4" t="s">
        <v>692</v>
      </c>
      <c r="I4" s="4" t="s">
        <v>693</v>
      </c>
      <c r="J4" s="4" t="s">
        <v>694</v>
      </c>
      <c r="K4" s="4" t="s">
        <v>695</v>
      </c>
      <c r="L4" s="4" t="s">
        <v>692</v>
      </c>
      <c r="M4" s="4" t="s">
        <v>693</v>
      </c>
      <c r="N4" s="4" t="s">
        <v>694</v>
      </c>
      <c r="O4" s="4" t="s">
        <v>742</v>
      </c>
      <c r="P4" s="4" t="s">
        <v>692</v>
      </c>
      <c r="Q4" s="4" t="s">
        <v>693</v>
      </c>
      <c r="R4" s="4" t="s">
        <v>694</v>
      </c>
      <c r="S4" s="4" t="s">
        <v>742</v>
      </c>
      <c r="T4" s="4"/>
      <c r="U4" s="4"/>
      <c r="V4" s="4"/>
    </row>
    <row r="5" s="1" customFormat="1" ht="21" customHeight="1" spans="1:2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 t="s">
        <v>696</v>
      </c>
      <c r="L5" s="5">
        <v>12</v>
      </c>
      <c r="M5" s="5">
        <v>13</v>
      </c>
      <c r="N5" s="5">
        <v>14</v>
      </c>
      <c r="O5" s="5" t="s">
        <v>697</v>
      </c>
      <c r="P5" s="5">
        <v>16</v>
      </c>
      <c r="Q5" s="5">
        <v>17</v>
      </c>
      <c r="R5" s="5">
        <v>18</v>
      </c>
      <c r="S5" s="5" t="s">
        <v>698</v>
      </c>
      <c r="T5" s="5" t="s">
        <v>699</v>
      </c>
      <c r="U5" s="5">
        <v>21</v>
      </c>
      <c r="V5" s="5" t="s">
        <v>700</v>
      </c>
    </row>
    <row r="6" spans="1:24">
      <c r="A6" s="6">
        <v>1</v>
      </c>
      <c r="B6" s="7" t="s">
        <v>680</v>
      </c>
      <c r="C6" s="7" t="s">
        <v>628</v>
      </c>
      <c r="D6" s="7" t="s">
        <v>23</v>
      </c>
      <c r="E6" s="7" t="s">
        <v>625</v>
      </c>
      <c r="F6" s="229" t="s">
        <v>629</v>
      </c>
      <c r="G6" s="7" t="s">
        <v>743</v>
      </c>
      <c r="H6" s="8">
        <v>4253</v>
      </c>
      <c r="I6" s="8">
        <f>4018*0.16</f>
        <v>642.88</v>
      </c>
      <c r="J6" s="8">
        <f>H6*0.16</f>
        <v>680.48</v>
      </c>
      <c r="K6" s="8">
        <f>J6-I6</f>
        <v>37.6</v>
      </c>
      <c r="L6" s="8"/>
      <c r="M6" s="8"/>
      <c r="N6" s="13"/>
      <c r="O6" s="20"/>
      <c r="P6" s="8">
        <v>4253</v>
      </c>
      <c r="Q6" s="8">
        <f>4018*0.005</f>
        <v>20.09</v>
      </c>
      <c r="R6" s="22">
        <f>P6*0.005</f>
        <v>21.265</v>
      </c>
      <c r="S6" s="22">
        <f>R6-Q6</f>
        <v>1.175</v>
      </c>
      <c r="T6" s="22">
        <f t="shared" ref="T6:T9" si="0">S6+O6+K6</f>
        <v>38.775</v>
      </c>
      <c r="U6" s="8">
        <v>6</v>
      </c>
      <c r="V6" s="8">
        <f t="shared" ref="V6:V9" si="1">U6*T6</f>
        <v>232.65</v>
      </c>
      <c r="X6">
        <f>V6+V7+V29+V30</f>
        <v>782.16</v>
      </c>
    </row>
    <row r="7" ht="20.4" spans="1:22">
      <c r="A7" s="9"/>
      <c r="B7" s="8"/>
      <c r="C7" s="8"/>
      <c r="D7" s="8"/>
      <c r="E7" s="8"/>
      <c r="F7" s="8"/>
      <c r="G7" s="8"/>
      <c r="H7" s="10"/>
      <c r="I7" s="14"/>
      <c r="J7" s="14"/>
      <c r="K7" s="14"/>
      <c r="L7" s="8">
        <v>7089</v>
      </c>
      <c r="M7" s="8">
        <f>ROUND(6531*0.09,2)</f>
        <v>587.79</v>
      </c>
      <c r="N7" s="13">
        <f t="shared" ref="N7:N9" si="2">ROUND(L7*0.09,2)</f>
        <v>638.01</v>
      </c>
      <c r="O7" s="20">
        <f t="shared" ref="O7:O9" si="3">N7-M7</f>
        <v>50.22</v>
      </c>
      <c r="P7" s="14"/>
      <c r="Q7" s="14"/>
      <c r="R7" s="14"/>
      <c r="S7" s="14"/>
      <c r="T7" s="22">
        <f>S7+O7+K7</f>
        <v>50.22</v>
      </c>
      <c r="U7" s="8">
        <v>7</v>
      </c>
      <c r="V7" s="8">
        <f>U7*T7</f>
        <v>351.54</v>
      </c>
    </row>
    <row r="8" ht="48" spans="1:24">
      <c r="A8" s="11">
        <v>3</v>
      </c>
      <c r="B8" s="12" t="s">
        <v>619</v>
      </c>
      <c r="C8" s="13" t="s">
        <v>620</v>
      </c>
      <c r="D8" s="13" t="s">
        <v>23</v>
      </c>
      <c r="E8" s="13" t="s">
        <v>621</v>
      </c>
      <c r="F8" s="226" t="s">
        <v>622</v>
      </c>
      <c r="G8" s="13" t="s">
        <v>743</v>
      </c>
      <c r="H8" s="10"/>
      <c r="I8" s="14"/>
      <c r="J8" s="14"/>
      <c r="K8" s="14"/>
      <c r="L8" s="8">
        <v>7089</v>
      </c>
      <c r="M8" s="8">
        <f t="shared" ref="M7:M9" si="4">6531*0.09</f>
        <v>587.79</v>
      </c>
      <c r="N8" s="13">
        <f>ROUND(L8*0.09,2)</f>
        <v>638.01</v>
      </c>
      <c r="O8" s="20">
        <f>N8-M8</f>
        <v>50.22</v>
      </c>
      <c r="P8" s="14"/>
      <c r="Q8" s="14"/>
      <c r="R8" s="14"/>
      <c r="S8" s="14"/>
      <c r="T8" s="22">
        <f>S8+O8+K8</f>
        <v>50.22</v>
      </c>
      <c r="U8" s="8">
        <v>7</v>
      </c>
      <c r="V8" s="8">
        <f>U8*T8</f>
        <v>351.54</v>
      </c>
      <c r="X8">
        <f>V8+V31</f>
        <v>429.66</v>
      </c>
    </row>
    <row r="9" ht="48" spans="1:24">
      <c r="A9" s="11">
        <v>4</v>
      </c>
      <c r="B9" s="12" t="s">
        <v>623</v>
      </c>
      <c r="C9" s="13" t="s">
        <v>624</v>
      </c>
      <c r="D9" s="13" t="s">
        <v>23</v>
      </c>
      <c r="E9" s="13" t="s">
        <v>625</v>
      </c>
      <c r="F9" s="226" t="s">
        <v>626</v>
      </c>
      <c r="G9" s="13" t="s">
        <v>743</v>
      </c>
      <c r="H9" s="10"/>
      <c r="I9" s="14"/>
      <c r="J9" s="14"/>
      <c r="K9" s="14"/>
      <c r="L9" s="8">
        <v>7089</v>
      </c>
      <c r="M9" s="8">
        <f>6531*0.09</f>
        <v>587.79</v>
      </c>
      <c r="N9" s="13">
        <f>ROUND(L9*0.09,2)</f>
        <v>638.01</v>
      </c>
      <c r="O9" s="20">
        <f>N9-M9</f>
        <v>50.22</v>
      </c>
      <c r="P9" s="14"/>
      <c r="Q9" s="14"/>
      <c r="R9" s="14"/>
      <c r="S9" s="14"/>
      <c r="T9" s="22">
        <f>S9+O9+K9</f>
        <v>50.22</v>
      </c>
      <c r="U9" s="8">
        <v>7</v>
      </c>
      <c r="V9" s="8">
        <f>U9*T9</f>
        <v>351.54</v>
      </c>
      <c r="X9">
        <f>V9+V32</f>
        <v>429.66</v>
      </c>
    </row>
    <row r="10" ht="20.4" spans="1:22">
      <c r="A10" s="11">
        <v>5</v>
      </c>
      <c r="B10" s="14"/>
      <c r="C10" s="14"/>
      <c r="D10" s="14"/>
      <c r="E10" s="14"/>
      <c r="F10" s="14"/>
      <c r="G10" s="14"/>
      <c r="H10" s="10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ht="20.4" spans="1:22">
      <c r="A11" s="11">
        <v>6</v>
      </c>
      <c r="B11" s="14"/>
      <c r="C11" s="14"/>
      <c r="D11" s="14"/>
      <c r="E11" s="14"/>
      <c r="F11" s="14"/>
      <c r="G11" s="14"/>
      <c r="H11" s="10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ht="20.4" spans="1:22">
      <c r="A12" s="11">
        <v>7</v>
      </c>
      <c r="B12" s="14"/>
      <c r="C12" s="14"/>
      <c r="D12" s="14"/>
      <c r="E12" s="14"/>
      <c r="F12" s="14"/>
      <c r="G12" s="14"/>
      <c r="H12" s="10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ht="20.4" spans="1:22">
      <c r="A13" s="11">
        <v>8</v>
      </c>
      <c r="B13" s="14"/>
      <c r="C13" s="14"/>
      <c r="D13" s="14"/>
      <c r="E13" s="14"/>
      <c r="F13" s="14"/>
      <c r="G13" s="14"/>
      <c r="H13" s="10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ht="20.4" spans="1:22">
      <c r="A14" s="11">
        <v>9</v>
      </c>
      <c r="B14" s="14"/>
      <c r="C14" s="14"/>
      <c r="D14" s="14"/>
      <c r="E14" s="14"/>
      <c r="F14" s="14"/>
      <c r="G14" s="14"/>
      <c r="H14" s="10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ht="20.4" spans="1:22">
      <c r="A15" s="11">
        <v>10</v>
      </c>
      <c r="B15" s="14"/>
      <c r="C15" s="14"/>
      <c r="D15" s="14"/>
      <c r="E15" s="14"/>
      <c r="F15" s="14"/>
      <c r="G15" s="14"/>
      <c r="H15" s="10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ht="20.4" spans="1:26">
      <c r="A16" s="15" t="s">
        <v>681</v>
      </c>
      <c r="B16" s="14"/>
      <c r="C16" s="14"/>
      <c r="D16" s="14"/>
      <c r="E16" s="14"/>
      <c r="F16" s="14"/>
      <c r="G16" s="14"/>
      <c r="H16" s="10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X16">
        <f>V9+V8+V7</f>
        <v>1054.62</v>
      </c>
      <c r="Z16">
        <f>X16+X42</f>
        <v>1288.98</v>
      </c>
    </row>
    <row r="17" spans="1:22">
      <c r="A17" s="16" t="s">
        <v>643</v>
      </c>
      <c r="B17" s="17"/>
      <c r="C17" s="17"/>
      <c r="D17" s="17"/>
      <c r="E17" s="17"/>
      <c r="F17" s="17"/>
      <c r="G17" s="18"/>
      <c r="H17" s="4">
        <f>SUM(H6:H16)</f>
        <v>4253</v>
      </c>
      <c r="I17" s="4">
        <f t="shared" ref="I17:V17" si="5">SUM(I6:I16)</f>
        <v>642.88</v>
      </c>
      <c r="J17" s="4">
        <f>SUM(J6:J16)</f>
        <v>680.48</v>
      </c>
      <c r="K17" s="4">
        <f>SUM(K6:K16)</f>
        <v>37.6</v>
      </c>
      <c r="L17" s="4">
        <f>SUM(L6:L16)</f>
        <v>21267</v>
      </c>
      <c r="M17" s="4">
        <f>SUM(M6:M16)</f>
        <v>1763.37</v>
      </c>
      <c r="N17" s="4">
        <f>SUM(N6:N16)</f>
        <v>1914.03</v>
      </c>
      <c r="O17" s="4">
        <f>SUM(O6:O16)</f>
        <v>150.66</v>
      </c>
      <c r="P17" s="4">
        <f>SUM(P6:P16)</f>
        <v>4253</v>
      </c>
      <c r="Q17" s="4">
        <f>SUM(Q6:Q16)</f>
        <v>20.09</v>
      </c>
      <c r="R17" s="4">
        <f>SUM(R6:R16)</f>
        <v>21.265</v>
      </c>
      <c r="S17" s="4">
        <f>SUM(S6:S16)</f>
        <v>1.175</v>
      </c>
      <c r="T17" s="4">
        <f>SUM(T6:T16)</f>
        <v>189.435</v>
      </c>
      <c r="U17" s="4">
        <f>SUM(U6:U16)</f>
        <v>27</v>
      </c>
      <c r="V17" s="4">
        <f>SUM(V6:V16)</f>
        <v>1287.27</v>
      </c>
    </row>
    <row r="19" ht="15.6" spans="1:22">
      <c r="A19" s="19" t="s">
        <v>644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1:19">
      <c r="K20">
        <f>K17*6</f>
        <v>225.6</v>
      </c>
      <c r="S20">
        <f>S17*6</f>
        <v>7.05</v>
      </c>
    </row>
    <row r="23" spans="24:24">
      <c r="X23">
        <f>V17+V40</f>
        <v>1641.48</v>
      </c>
    </row>
    <row r="24" ht="37" customHeight="1" spans="1:22">
      <c r="A24" s="2" t="s">
        <v>744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ht="24.75" customHeight="1" spans="1:22">
      <c r="A25" s="3" t="s">
        <v>684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25.5" customHeight="1" spans="1:22">
      <c r="A26" s="4" t="s">
        <v>1</v>
      </c>
      <c r="B26" s="4" t="s">
        <v>2</v>
      </c>
      <c r="C26" s="4" t="s">
        <v>3</v>
      </c>
      <c r="D26" s="4" t="s">
        <v>4</v>
      </c>
      <c r="E26" s="4" t="s">
        <v>607</v>
      </c>
      <c r="F26" s="4" t="s">
        <v>5</v>
      </c>
      <c r="G26" s="4" t="s">
        <v>685</v>
      </c>
      <c r="H26" s="4" t="s">
        <v>745</v>
      </c>
      <c r="I26" s="4"/>
      <c r="J26" s="4"/>
      <c r="K26" s="4"/>
      <c r="L26" s="4" t="s">
        <v>746</v>
      </c>
      <c r="M26" s="4"/>
      <c r="N26" s="4"/>
      <c r="O26" s="4"/>
      <c r="P26" s="4" t="s">
        <v>739</v>
      </c>
      <c r="Q26" s="4"/>
      <c r="R26" s="4"/>
      <c r="S26" s="4"/>
      <c r="T26" s="4" t="s">
        <v>740</v>
      </c>
      <c r="U26" s="4" t="s">
        <v>690</v>
      </c>
      <c r="V26" s="4" t="s">
        <v>741</v>
      </c>
    </row>
    <row r="27" ht="42" customHeight="1" spans="1:22">
      <c r="A27" s="4"/>
      <c r="B27" s="4"/>
      <c r="C27" s="4"/>
      <c r="D27" s="4"/>
      <c r="E27" s="4"/>
      <c r="F27" s="4"/>
      <c r="G27" s="4"/>
      <c r="H27" s="4" t="s">
        <v>692</v>
      </c>
      <c r="I27" s="4" t="s">
        <v>693</v>
      </c>
      <c r="J27" s="4" t="s">
        <v>694</v>
      </c>
      <c r="K27" s="4" t="s">
        <v>695</v>
      </c>
      <c r="L27" s="4" t="s">
        <v>692</v>
      </c>
      <c r="M27" s="4" t="s">
        <v>693</v>
      </c>
      <c r="N27" s="4" t="s">
        <v>694</v>
      </c>
      <c r="O27" s="4" t="s">
        <v>747</v>
      </c>
      <c r="P27" s="4" t="s">
        <v>692</v>
      </c>
      <c r="Q27" s="4" t="s">
        <v>693</v>
      </c>
      <c r="R27" s="4" t="s">
        <v>694</v>
      </c>
      <c r="S27" s="4" t="s">
        <v>747</v>
      </c>
      <c r="T27" s="4"/>
      <c r="U27" s="4"/>
      <c r="V27" s="4"/>
    </row>
    <row r="28" ht="19.2" spans="1:2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5">
        <v>8</v>
      </c>
      <c r="I28" s="5">
        <v>9</v>
      </c>
      <c r="J28" s="5">
        <v>10</v>
      </c>
      <c r="K28" s="5" t="s">
        <v>696</v>
      </c>
      <c r="L28" s="5">
        <v>12</v>
      </c>
      <c r="M28" s="5">
        <v>13</v>
      </c>
      <c r="N28" s="5">
        <v>14</v>
      </c>
      <c r="O28" s="5" t="s">
        <v>697</v>
      </c>
      <c r="P28" s="5">
        <v>16</v>
      </c>
      <c r="Q28" s="5">
        <v>17</v>
      </c>
      <c r="R28" s="5">
        <v>18</v>
      </c>
      <c r="S28" s="5" t="s">
        <v>698</v>
      </c>
      <c r="T28" s="5" t="s">
        <v>699</v>
      </c>
      <c r="U28" s="5">
        <v>21</v>
      </c>
      <c r="V28" s="5" t="s">
        <v>700</v>
      </c>
    </row>
    <row r="29" spans="1:22">
      <c r="A29" s="6">
        <v>1</v>
      </c>
      <c r="B29" s="7" t="s">
        <v>680</v>
      </c>
      <c r="C29" s="7" t="s">
        <v>628</v>
      </c>
      <c r="D29" s="7" t="s">
        <v>23</v>
      </c>
      <c r="E29" s="7" t="s">
        <v>625</v>
      </c>
      <c r="F29" s="229" t="s">
        <v>629</v>
      </c>
      <c r="G29" s="7" t="s">
        <v>703</v>
      </c>
      <c r="H29" s="8">
        <v>4253</v>
      </c>
      <c r="I29" s="8">
        <f>4018*0.08</f>
        <v>321.44</v>
      </c>
      <c r="J29" s="8">
        <f>H29*0.08</f>
        <v>340.24</v>
      </c>
      <c r="K29" s="13">
        <f>J29-I29</f>
        <v>18.8</v>
      </c>
      <c r="L29" s="21"/>
      <c r="M29" s="21"/>
      <c r="N29" s="21"/>
      <c r="O29" s="21"/>
      <c r="P29" s="8">
        <v>4253</v>
      </c>
      <c r="Q29" s="22">
        <f>4018*0.005</f>
        <v>20.09</v>
      </c>
      <c r="R29" s="22">
        <f>P29*0.005</f>
        <v>21.265</v>
      </c>
      <c r="S29" s="23">
        <f>R29-Q29</f>
        <v>1.175</v>
      </c>
      <c r="T29" s="22">
        <f t="shared" ref="T29:T32" si="6">S29+O29+K29</f>
        <v>19.975</v>
      </c>
      <c r="U29" s="13">
        <v>6</v>
      </c>
      <c r="V29" s="8">
        <f t="shared" ref="V29:V32" si="7">T29*U29</f>
        <v>119.85</v>
      </c>
    </row>
    <row r="30" ht="20.4" spans="1:22">
      <c r="A30" s="9"/>
      <c r="B30" s="8"/>
      <c r="C30" s="8"/>
      <c r="D30" s="8"/>
      <c r="E30" s="8"/>
      <c r="F30" s="8"/>
      <c r="G30" s="8"/>
      <c r="H30" s="10"/>
      <c r="I30" s="14"/>
      <c r="J30" s="14"/>
      <c r="K30" s="14"/>
      <c r="L30" s="8">
        <v>7089</v>
      </c>
      <c r="M30" s="8">
        <f t="shared" ref="M30:M32" si="8">ROUND(6531*0.02,2)</f>
        <v>130.62</v>
      </c>
      <c r="N30" s="8">
        <f t="shared" ref="N30:N32" si="9">ROUND(L30*0.02,2)</f>
        <v>141.78</v>
      </c>
      <c r="O30" s="13">
        <f t="shared" ref="O30:O32" si="10">N30-M30</f>
        <v>11.16</v>
      </c>
      <c r="P30" s="8"/>
      <c r="Q30" s="14"/>
      <c r="R30" s="14"/>
      <c r="S30" s="14"/>
      <c r="T30" s="22">
        <f>S30+O30+K30</f>
        <v>11.16</v>
      </c>
      <c r="U30" s="13">
        <v>7</v>
      </c>
      <c r="V30" s="8">
        <f>T30*U30</f>
        <v>78.12</v>
      </c>
    </row>
    <row r="31" ht="48" spans="1:22">
      <c r="A31" s="11">
        <v>3</v>
      </c>
      <c r="B31" s="12" t="s">
        <v>619</v>
      </c>
      <c r="C31" s="13" t="s">
        <v>620</v>
      </c>
      <c r="D31" s="13" t="s">
        <v>23</v>
      </c>
      <c r="E31" s="13" t="s">
        <v>621</v>
      </c>
      <c r="F31" s="226" t="s">
        <v>622</v>
      </c>
      <c r="G31" s="13" t="s">
        <v>743</v>
      </c>
      <c r="H31" s="10"/>
      <c r="I31" s="14"/>
      <c r="J31" s="14"/>
      <c r="K31" s="14"/>
      <c r="L31" s="8">
        <v>7089</v>
      </c>
      <c r="M31" s="8">
        <f>ROUND(6531*0.02,2)</f>
        <v>130.62</v>
      </c>
      <c r="N31" s="8">
        <f>ROUND(L31*0.02,2)</f>
        <v>141.78</v>
      </c>
      <c r="O31" s="13">
        <f>N31-M31</f>
        <v>11.16</v>
      </c>
      <c r="P31" s="14"/>
      <c r="Q31" s="14"/>
      <c r="R31" s="14"/>
      <c r="S31" s="14"/>
      <c r="T31" s="22">
        <f>S31+O31+K31</f>
        <v>11.16</v>
      </c>
      <c r="U31" s="13">
        <v>7</v>
      </c>
      <c r="V31" s="8">
        <f>T31*U31</f>
        <v>78.12</v>
      </c>
    </row>
    <row r="32" ht="48" spans="1:22">
      <c r="A32" s="11">
        <v>4</v>
      </c>
      <c r="B32" s="12" t="s">
        <v>623</v>
      </c>
      <c r="C32" s="13" t="s">
        <v>624</v>
      </c>
      <c r="D32" s="13" t="s">
        <v>23</v>
      </c>
      <c r="E32" s="13" t="s">
        <v>625</v>
      </c>
      <c r="F32" s="226" t="s">
        <v>626</v>
      </c>
      <c r="G32" s="13" t="s">
        <v>743</v>
      </c>
      <c r="H32" s="10"/>
      <c r="I32" s="14"/>
      <c r="J32" s="14"/>
      <c r="K32" s="14"/>
      <c r="L32" s="8">
        <v>7089</v>
      </c>
      <c r="M32" s="8">
        <f>ROUND(6531*0.02,2)</f>
        <v>130.62</v>
      </c>
      <c r="N32" s="8">
        <f>ROUND(L32*0.02,2)</f>
        <v>141.78</v>
      </c>
      <c r="O32" s="13">
        <f>N32-M32</f>
        <v>11.16</v>
      </c>
      <c r="P32" s="14"/>
      <c r="Q32" s="14"/>
      <c r="R32" s="14"/>
      <c r="S32" s="14"/>
      <c r="T32" s="22">
        <f>S32+O32+K32</f>
        <v>11.16</v>
      </c>
      <c r="U32" s="13">
        <v>7</v>
      </c>
      <c r="V32" s="8">
        <f>T32*U32</f>
        <v>78.12</v>
      </c>
    </row>
    <row r="33" ht="20.4" spans="1:22">
      <c r="A33" s="11">
        <v>5</v>
      </c>
      <c r="B33" s="14"/>
      <c r="C33" s="14"/>
      <c r="D33" s="14"/>
      <c r="E33" s="14"/>
      <c r="F33" s="14"/>
      <c r="G33" s="14"/>
      <c r="H33" s="10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</row>
    <row r="34" ht="20.4" spans="1:22">
      <c r="A34" s="11">
        <v>6</v>
      </c>
      <c r="B34" s="14"/>
      <c r="C34" s="14"/>
      <c r="D34" s="14"/>
      <c r="E34" s="14"/>
      <c r="F34" s="14"/>
      <c r="G34" s="14"/>
      <c r="H34" s="10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</row>
    <row r="35" ht="20.4" spans="1:22">
      <c r="A35" s="11">
        <v>7</v>
      </c>
      <c r="B35" s="14"/>
      <c r="C35" s="14"/>
      <c r="D35" s="14"/>
      <c r="E35" s="14"/>
      <c r="F35" s="14"/>
      <c r="G35" s="14"/>
      <c r="H35" s="1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</row>
    <row r="36" ht="20.4" spans="1:22">
      <c r="A36" s="11">
        <v>8</v>
      </c>
      <c r="B36" s="14"/>
      <c r="C36" s="14"/>
      <c r="D36" s="14"/>
      <c r="E36" s="14"/>
      <c r="F36" s="14"/>
      <c r="G36" s="14"/>
      <c r="H36" s="10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</row>
    <row r="37" ht="20.4" spans="1:22">
      <c r="A37" s="11">
        <v>9</v>
      </c>
      <c r="B37" s="14"/>
      <c r="C37" s="14"/>
      <c r="D37" s="14"/>
      <c r="E37" s="14"/>
      <c r="F37" s="14"/>
      <c r="G37" s="14"/>
      <c r="H37" s="10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</row>
    <row r="38" ht="20.4" spans="1:22">
      <c r="A38" s="11">
        <v>10</v>
      </c>
      <c r="B38" s="14"/>
      <c r="C38" s="14"/>
      <c r="D38" s="14"/>
      <c r="E38" s="14"/>
      <c r="F38" s="14"/>
      <c r="G38" s="14"/>
      <c r="H38" s="10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</row>
    <row r="39" ht="20.4" spans="1:22">
      <c r="A39" s="15" t="s">
        <v>681</v>
      </c>
      <c r="B39" s="14"/>
      <c r="C39" s="14"/>
      <c r="D39" s="14"/>
      <c r="E39" s="14"/>
      <c r="F39" s="14"/>
      <c r="G39" s="14"/>
      <c r="H39" s="10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</row>
    <row r="40" spans="1:22">
      <c r="A40" s="16" t="s">
        <v>643</v>
      </c>
      <c r="B40" s="17"/>
      <c r="C40" s="17"/>
      <c r="D40" s="17"/>
      <c r="E40" s="17"/>
      <c r="F40" s="17"/>
      <c r="G40" s="18"/>
      <c r="H40" s="4">
        <f>SUM(H29:H39)</f>
        <v>4253</v>
      </c>
      <c r="I40" s="4">
        <f t="shared" ref="I40:V40" si="11">SUM(I29:I39)</f>
        <v>321.44</v>
      </c>
      <c r="J40" s="4">
        <f>SUM(J29:J39)</f>
        <v>340.24</v>
      </c>
      <c r="K40" s="4">
        <f>SUM(K29:K39)</f>
        <v>18.8</v>
      </c>
      <c r="L40" s="4">
        <f>SUM(L29:L39)</f>
        <v>21267</v>
      </c>
      <c r="M40" s="4">
        <f>SUM(M29:M39)</f>
        <v>391.86</v>
      </c>
      <c r="N40" s="4">
        <f>SUM(N29:N39)</f>
        <v>425.34</v>
      </c>
      <c r="O40" s="4">
        <f>SUM(O29:O39)</f>
        <v>33.48</v>
      </c>
      <c r="P40" s="4">
        <f>SUM(P29:P39)</f>
        <v>4253</v>
      </c>
      <c r="Q40" s="4">
        <f>SUM(Q29:Q39)</f>
        <v>20.09</v>
      </c>
      <c r="R40" s="4">
        <f>SUM(R29:R39)</f>
        <v>21.265</v>
      </c>
      <c r="S40" s="4">
        <f>SUM(S29:S39)</f>
        <v>1.175</v>
      </c>
      <c r="T40" s="4">
        <f>SUM(T29:T39)</f>
        <v>53.455</v>
      </c>
      <c r="U40" s="4">
        <f>SUM(U29:U39)</f>
        <v>27</v>
      </c>
      <c r="V40" s="4">
        <f>SUM(V29:V39)</f>
        <v>354.21</v>
      </c>
    </row>
    <row r="42" ht="15.6" spans="1:24">
      <c r="A42" s="19" t="s">
        <v>644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X42">
        <f>V32+V31+V30</f>
        <v>234.36</v>
      </c>
    </row>
    <row r="44" spans="11:22">
      <c r="K44">
        <f>K40*6</f>
        <v>112.8</v>
      </c>
      <c r="S44">
        <f>S40*6</f>
        <v>7.05</v>
      </c>
      <c r="V44">
        <f>V40+V17</f>
        <v>1641.48</v>
      </c>
    </row>
    <row r="46" spans="11:19">
      <c r="K46">
        <f>K44+K20</f>
        <v>338.4</v>
      </c>
      <c r="S46">
        <f>S44+S20</f>
        <v>14.1</v>
      </c>
    </row>
  </sheetData>
  <mergeCells count="48">
    <mergeCell ref="A1:V1"/>
    <mergeCell ref="A2:V2"/>
    <mergeCell ref="H3:K3"/>
    <mergeCell ref="L3:O3"/>
    <mergeCell ref="P3:S3"/>
    <mergeCell ref="A17:G17"/>
    <mergeCell ref="A19:V19"/>
    <mergeCell ref="A24:V24"/>
    <mergeCell ref="A25:V25"/>
    <mergeCell ref="H26:K26"/>
    <mergeCell ref="L26:O26"/>
    <mergeCell ref="P26:S26"/>
    <mergeCell ref="A40:G40"/>
    <mergeCell ref="A42:V42"/>
    <mergeCell ref="A3:A4"/>
    <mergeCell ref="A6:A7"/>
    <mergeCell ref="A26:A27"/>
    <mergeCell ref="A29:A30"/>
    <mergeCell ref="B3:B4"/>
    <mergeCell ref="B6:B7"/>
    <mergeCell ref="B26:B27"/>
    <mergeCell ref="B29:B30"/>
    <mergeCell ref="C3:C4"/>
    <mergeCell ref="C6:C7"/>
    <mergeCell ref="C26:C27"/>
    <mergeCell ref="C29:C30"/>
    <mergeCell ref="D3:D4"/>
    <mergeCell ref="D6:D7"/>
    <mergeCell ref="D26:D27"/>
    <mergeCell ref="D29:D30"/>
    <mergeCell ref="E3:E4"/>
    <mergeCell ref="E6:E7"/>
    <mergeCell ref="E26:E27"/>
    <mergeCell ref="E29:E30"/>
    <mergeCell ref="F3:F4"/>
    <mergeCell ref="F6:F7"/>
    <mergeCell ref="F26:F27"/>
    <mergeCell ref="F29:F30"/>
    <mergeCell ref="G3:G4"/>
    <mergeCell ref="G6:G7"/>
    <mergeCell ref="G26:G27"/>
    <mergeCell ref="G29:G30"/>
    <mergeCell ref="T3:T4"/>
    <mergeCell ref="T26:T27"/>
    <mergeCell ref="U3:U4"/>
    <mergeCell ref="U26:U27"/>
    <mergeCell ref="V3:V4"/>
    <mergeCell ref="V26:V27"/>
  </mergeCells>
  <printOptions horizontalCentered="1"/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扩围专项补贴人员花名册</vt:lpstr>
      <vt:lpstr>高校毕业生审批表</vt:lpstr>
      <vt:lpstr>高校毕业生花名册</vt:lpstr>
      <vt:lpstr>补差审批表</vt:lpstr>
      <vt:lpstr>企业补差汇总表</vt:lpstr>
      <vt:lpstr>企业补差花名册</vt:lpstr>
      <vt:lpstr>高校毕业生补差审批表</vt:lpstr>
      <vt:lpstr>高校毕业生补差花名册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ODOR</cp:lastModifiedBy>
  <dcterms:created xsi:type="dcterms:W3CDTF">2006-09-13T11:21:00Z</dcterms:created>
  <cp:lastPrinted>2021-06-08T06:02:00Z</cp:lastPrinted>
  <dcterms:modified xsi:type="dcterms:W3CDTF">2025-11-12T04:46:34Z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2052-9.1.0.5111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</Properties>
</file>